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defaultThemeVersion="124226"/>
  <mc:AlternateContent xmlns:mc="http://schemas.openxmlformats.org/markup-compatibility/2006">
    <mc:Choice Requires="x15">
      <x15ac:absPath xmlns:x15ac="http://schemas.microsoft.com/office/spreadsheetml/2010/11/ac" url="/Users/shanewells/Dropbox (HPWS)/A HPWS Shane/0 CMET Director/"/>
    </mc:Choice>
  </mc:AlternateContent>
  <xr:revisionPtr revIDLastSave="0" documentId="13_ncr:1_{62996E6E-FC6E-6F45-8D97-896926A314C8}" xr6:coauthVersionLast="45" xr6:coauthVersionMax="45" xr10:uidLastSave="{00000000-0000-0000-0000-000000000000}"/>
  <bookViews>
    <workbookView xWindow="43860" yWindow="460" windowWidth="35220" windowHeight="20500" xr2:uid="{00000000-000D-0000-FFFF-FFFF00000000}"/>
  </bookViews>
  <sheets>
    <sheet name="Customer Page" sheetId="2" r:id="rId1"/>
    <sheet name="Calculations" sheetId="1" state="hidden" r:id="rId2"/>
  </sheets>
  <definedNames>
    <definedName name="_xlnm.Print_Area" localSheetId="0">'Customer Page'!$A$1:$M$59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1" i="2" l="1"/>
  <c r="S32" i="2" s="1"/>
  <c r="V34" i="2" s="1"/>
  <c r="Q21" i="2"/>
  <c r="J49" i="2" l="1"/>
  <c r="S52" i="2" s="1"/>
  <c r="R23" i="2"/>
  <c r="K35" i="2" s="1"/>
  <c r="R22" i="2"/>
  <c r="R55" i="2"/>
  <c r="I52" i="2" s="1"/>
  <c r="R51" i="2"/>
  <c r="R52" i="2" s="1"/>
  <c r="R53" i="2" s="1"/>
  <c r="W46" i="2"/>
  <c r="Y46" i="2"/>
  <c r="S51" i="2" l="1"/>
  <c r="J52" i="2"/>
  <c r="J53" i="2"/>
  <c r="J54" i="2"/>
  <c r="I54" i="2"/>
  <c r="I53" i="2"/>
  <c r="K3" i="1" l="1"/>
  <c r="P45" i="2"/>
  <c r="C28" i="2" l="1"/>
  <c r="J40" i="2" s="1"/>
  <c r="K22" i="2"/>
  <c r="K23" i="2"/>
  <c r="K24" i="2"/>
  <c r="K25" i="2"/>
  <c r="K26" i="2"/>
  <c r="K27" i="2"/>
  <c r="K21" i="2"/>
  <c r="J38" i="2" l="1"/>
  <c r="J42" i="2" s="1"/>
  <c r="K29" i="2"/>
  <c r="V31" i="2" s="1"/>
  <c r="K32" i="2" l="1"/>
  <c r="V33" i="2"/>
  <c r="V35" i="2" s="1"/>
  <c r="K33" i="2" s="1"/>
  <c r="I4" i="1"/>
  <c r="K4" i="1" s="1"/>
  <c r="J4" i="1"/>
  <c r="L4" i="1" s="1"/>
  <c r="I5" i="1"/>
  <c r="K5" i="1" s="1"/>
  <c r="J5" i="1"/>
  <c r="L5" i="1" s="1"/>
  <c r="I6" i="1"/>
  <c r="K6" i="1" s="1"/>
  <c r="J6" i="1"/>
  <c r="L6" i="1" s="1"/>
  <c r="J7" i="1"/>
  <c r="L7" i="1" s="1"/>
  <c r="I8" i="1"/>
  <c r="K8" i="1" s="1"/>
  <c r="I9" i="1"/>
  <c r="K9" i="1" s="1"/>
  <c r="J3" i="1"/>
  <c r="L3" i="1" s="1"/>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Jimmy Belanger</author>
  </authors>
  <commentList>
    <comment ref="D38" authorId="0" shapeId="0" xr:uid="{00000000-0006-0000-0100-000001000000}">
      <text>
        <r>
          <rPr>
            <sz val="9"/>
            <color rgb="FF000000"/>
            <rFont val="Tahoma"/>
            <family val="2"/>
          </rPr>
          <t xml:space="preserve">NCS pays the normal application fee as part of the NCS CARES program. It is a 100% irrevocable grant. 
</t>
        </r>
      </text>
    </comment>
    <comment ref="D40" authorId="0" shapeId="0" xr:uid="{00000000-0006-0000-0100-000002000000}">
      <text>
        <r>
          <rPr>
            <b/>
            <sz val="9"/>
            <color rgb="FF000000"/>
            <rFont val="Tahoma"/>
            <family val="2"/>
          </rPr>
          <t xml:space="preserve">The NCS Account Credit Grant is $1,000 / piece of equipment purchased. The Account Credit Grant must be used by 12/31/2020. Any unused grant money will be returned to NCS. The NCS grant credit can be applied to MacNeil Parts and Foam and Clean Touch Chemicals. </t>
        </r>
        <r>
          <rPr>
            <sz val="9"/>
            <color rgb="FF000000"/>
            <rFont val="Tahoma"/>
            <family val="2"/>
          </rPr>
          <t xml:space="preserve">
</t>
        </r>
      </text>
    </comment>
  </commentList>
</comments>
</file>

<file path=xl/sharedStrings.xml><?xml version="1.0" encoding="utf-8"?>
<sst xmlns="http://schemas.openxmlformats.org/spreadsheetml/2006/main" count="112" uniqueCount="83">
  <si>
    <t xml:space="preserve"> </t>
  </si>
  <si>
    <t>Under $ 50K, I can go to 60 months and 90-day deferred. Over $ 50K, I can offer up to 72 months and 180-day deferred.</t>
  </si>
  <si>
    <t>Hydraulic</t>
  </si>
  <si>
    <t>Electric</t>
  </si>
  <si>
    <t>MT-2500 Hydraulic 9 Ft. Gloss Boss (Includes Chemical Panel)</t>
  </si>
  <si>
    <t>MW-2000 Electric Wheel Boss - Bristle Brush (Includes Parallel Retract)</t>
  </si>
  <si>
    <t>Magnum Force High Pressure Arch - 6 Head Hydraulic</t>
  </si>
  <si>
    <r>
      <t>RS-1000</t>
    </r>
    <r>
      <rPr>
        <sz val="12"/>
        <color theme="1"/>
        <rFont val="Calibri"/>
        <family val="2"/>
        <scheme val="minor"/>
      </rPr>
      <t xml:space="preserve"> </t>
    </r>
    <r>
      <rPr>
        <sz val="12"/>
        <rFont val="Calibri"/>
        <family val="2"/>
        <scheme val="minor"/>
      </rPr>
      <t>Evolution</t>
    </r>
    <r>
      <rPr>
        <sz val="12"/>
        <color theme="1"/>
        <rFont val="Calibri"/>
        <family val="2"/>
        <scheme val="minor"/>
      </rPr>
      <t xml:space="preserve"> </t>
    </r>
    <r>
      <rPr>
        <sz val="12"/>
        <rFont val="Calibri"/>
        <family val="2"/>
        <scheme val="minor"/>
      </rPr>
      <t xml:space="preserve">Top Brush w/ 94" </t>
    </r>
  </si>
  <si>
    <t xml:space="preserve">RS-550 Super Sonic Wheel Washer &amp; Lower Detail Brush (ELECTRIC only) </t>
  </si>
  <si>
    <t xml:space="preserve">Magnum High Pressure w/ 6 nozzle Wheel Cleaning Feature </t>
  </si>
  <si>
    <t>120 ft XR-1000 60' with 3'-4" roller spacing</t>
  </si>
  <si>
    <t>60 months</t>
  </si>
  <si>
    <t>Individual Equipment Pieces and Monthly Payments</t>
  </si>
  <si>
    <t>N/A</t>
  </si>
  <si>
    <t>NOTE 2: Freight, Sales Tax and Installation can be wraped into the loan - please speak with your sales representative</t>
  </si>
  <si>
    <t xml:space="preserve">Processing Fee Grant </t>
  </si>
  <si>
    <t>Account Credit Grant</t>
  </si>
  <si>
    <t>NOTE 5: Account Credit Grant is provided for each piece of equipment purchased;ie. if you purchase one component then you will receive a $1,000 NCS Account Credit Grant but if you purchase five components you will receive a $5,000 Account Credit Grant</t>
  </si>
  <si>
    <t xml:space="preserve">NOTE: Customer may select as many pieces of equipemnt as they would like but cannot exceed a total monthly payment of 5,737 </t>
  </si>
  <si>
    <t>NOTE 3: If the Customer's combined monthly payment exceeds 1,150/month, they may qualify for 180 days deferred payment and a 72 month term which will drop the monthly payment by approximately 12%</t>
  </si>
  <si>
    <t>NOTE 4: The processing fee grant is a one time expense paid by NCS for the prospective Customer</t>
  </si>
  <si>
    <t>MSRP for each Piece</t>
  </si>
  <si>
    <t>Monthly Payment w/ 90 days Deferred and 60 month Term</t>
  </si>
  <si>
    <t>Distributor Margin</t>
  </si>
  <si>
    <t>NCS &gt;.7 Net of Grants to pay for Loan Forgiveness</t>
  </si>
  <si>
    <t xml:space="preserve">&gt;200,000 </t>
  </si>
  <si>
    <t>2019 Wash Volume</t>
  </si>
  <si>
    <t>2 Year</t>
  </si>
  <si>
    <t>3 Year</t>
  </si>
  <si>
    <t>&gt;60,000</t>
  </si>
  <si>
    <t>&gt;100,000</t>
  </si>
  <si>
    <t xml:space="preserve">&gt;150,000 </t>
  </si>
  <si>
    <t>Minimum qualifying wash volume of 60,000 cars per year</t>
  </si>
  <si>
    <t>Loan forgiveness is a pro-rated cash payout to the customer at the end of each 12 month period</t>
  </si>
  <si>
    <t>Loan forgiveness volume breaks</t>
  </si>
  <si>
    <t xml:space="preserve">For the purpose of calculating the </t>
  </si>
  <si>
    <t>Monthly Payment Extended</t>
  </si>
  <si>
    <t xml:space="preserve">Monthly Payment Each </t>
  </si>
  <si>
    <t>TOAL Monthly Payment</t>
  </si>
  <si>
    <t>TOTAL Pieces of wash Equipment Purchased</t>
  </si>
  <si>
    <t>TOTAL  Available NCS Grants from MacNeil</t>
  </si>
  <si>
    <t xml:space="preserve">STEP ONE: </t>
  </si>
  <si>
    <t>Desired Purchase Qualifies for 90 Day OR 180 Day Deferred Payment</t>
  </si>
  <si>
    <r>
      <t>Application Fee Grant</t>
    </r>
    <r>
      <rPr>
        <sz val="12"/>
        <color theme="1"/>
        <rFont val="Calibri"/>
        <family val="2"/>
        <scheme val="minor"/>
      </rPr>
      <t xml:space="preserve"> </t>
    </r>
    <r>
      <rPr>
        <sz val="10"/>
        <color theme="1"/>
        <rFont val="Calibri"/>
        <family val="2"/>
        <scheme val="minor"/>
      </rPr>
      <t>(mouse over for grant information)</t>
    </r>
  </si>
  <si>
    <t>Click to Add
to Cart</t>
  </si>
  <si>
    <t xml:space="preserve">STEP TWO: </t>
  </si>
  <si>
    <t>Select desired wash equipment and add to cart. The calculator will automatically determine Total Monthly Payment, 90 Day or 180 Day Deferred Payment qualification, whether your selections require tenure and the total NCS Grants available.</t>
  </si>
  <si>
    <t>Determine amount of loan forgiveness if a Clean Touch chemical supply agreement is engaged.</t>
  </si>
  <si>
    <t>None</t>
  </si>
  <si>
    <t>Maximum Amount</t>
  </si>
  <si>
    <t>Result</t>
  </si>
  <si>
    <t>Customer Name:</t>
  </si>
  <si>
    <t>Location/Site Name:</t>
  </si>
  <si>
    <t>Street Address:</t>
  </si>
  <si>
    <r>
      <t>2019 Total Wash Volume</t>
    </r>
    <r>
      <rPr>
        <sz val="12"/>
        <color theme="1"/>
        <rFont val="Calibri"/>
        <family val="2"/>
        <scheme val="minor"/>
      </rPr>
      <t xml:space="preserve"> </t>
    </r>
    <r>
      <rPr>
        <sz val="12"/>
        <color theme="1"/>
        <rFont val="Calibri (Body)"/>
      </rPr>
      <t>(Note: Verification Required)</t>
    </r>
  </si>
  <si>
    <r>
      <t>2019 Total Chemical Spend</t>
    </r>
    <r>
      <rPr>
        <sz val="12"/>
        <color theme="1"/>
        <rFont val="Calibri"/>
        <family val="2"/>
        <scheme val="minor"/>
      </rPr>
      <t xml:space="preserve"> </t>
    </r>
    <r>
      <rPr>
        <sz val="12"/>
        <color theme="1"/>
        <rFont val="Calibri (Body)"/>
      </rPr>
      <t>(Note: Verification Required)</t>
    </r>
  </si>
  <si>
    <r>
      <t xml:space="preserve">NCS Account Credit Grant - Parts &amp; Chemical </t>
    </r>
    <r>
      <rPr>
        <sz val="10"/>
        <color theme="1"/>
        <rFont val="Calibri"/>
        <family val="2"/>
        <scheme val="minor"/>
      </rPr>
      <t>(mouse over for grant information)</t>
    </r>
  </si>
  <si>
    <t>Tenure: Number of Years in Business</t>
  </si>
  <si>
    <t>0-1 Years</t>
  </si>
  <si>
    <t>1-2 Years</t>
  </si>
  <si>
    <t>2-3 years</t>
  </si>
  <si>
    <t>3-4 Years</t>
  </si>
  <si>
    <t>4-5 Years</t>
  </si>
  <si>
    <t>5 Years+</t>
  </si>
  <si>
    <t>Desired Equipment Ship Date:</t>
  </si>
  <si>
    <t>Date</t>
  </si>
  <si>
    <t>Amount</t>
  </si>
  <si>
    <t>Loan Forgiveness Calculated Amount</t>
  </si>
  <si>
    <t>Loan Forgiveness Rebate Checks</t>
  </si>
  <si>
    <t>Check #1</t>
  </si>
  <si>
    <t>Check #2</t>
  </si>
  <si>
    <t>Check #3</t>
  </si>
  <si>
    <t>Yes</t>
  </si>
  <si>
    <t>No</t>
  </si>
  <si>
    <t>180 Day Deferred Payment Desired, if Applicable</t>
  </si>
  <si>
    <t>90 Day Deferred Payment:</t>
  </si>
  <si>
    <t>180 Day Deferred Payment:</t>
  </si>
  <si>
    <t>Date of 1st Payment:</t>
  </si>
  <si>
    <t>City, State, Zip:</t>
  </si>
  <si>
    <t>SELECT Loan Forgiveness Supply Agreement</t>
  </si>
  <si>
    <t>Sum Scores</t>
  </si>
  <si>
    <t>Years Score 5 = 0</t>
  </si>
  <si>
    <t>Required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</si>
</sst>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000_);_(&quot;$&quot;* \(#,##0.000\);_(&quot;$&quot;* &quot;-&quot;??_);_(@_)"/>
  </numFmts>
  <fonts count="22">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6"/>
      <color theme="1"/>
      <name val="Calibri"/>
      <family val="2"/>
      <scheme val="minor"/>
    </font>
    <font>
      <sz val="10"/>
      <name val="Arial"/>
      <family val="2"/>
    </font>
    <font>
      <sz val="12"/>
      <color theme="1"/>
      <name val="Arial"/>
      <family val="2"/>
    </font>
    <font>
      <sz val="12"/>
      <color rgb="FF000000"/>
      <name val="Calibri"/>
      <family val="2"/>
      <scheme val="minor"/>
    </font>
    <font>
      <sz val="11"/>
      <color theme="3"/>
      <name val="Calibri"/>
      <family val="2"/>
      <scheme val="minor"/>
    </font>
    <font>
      <sz val="10"/>
      <color theme="1"/>
      <name val="Calibri"/>
      <family val="2"/>
      <scheme val="minor"/>
    </font>
    <font>
      <b/>
      <sz val="14"/>
      <color theme="3"/>
      <name val="Calibri"/>
      <family val="2"/>
      <scheme val="minor"/>
    </font>
    <font>
      <b/>
      <sz val="16"/>
      <color theme="3"/>
      <name val="Calibri"/>
      <family val="2"/>
      <scheme val="minor"/>
    </font>
    <font>
      <sz val="15.4"/>
      <color theme="1"/>
      <name val="Calibri"/>
      <family val="2"/>
      <scheme val="minor"/>
    </font>
    <font>
      <sz val="12"/>
      <color rgb="FF006100"/>
      <name val="Calibri"/>
      <family val="2"/>
      <scheme val="minor"/>
    </font>
    <font>
      <sz val="9"/>
      <color rgb="FF000000"/>
      <name val="Tahoma"/>
      <family val="2"/>
    </font>
    <font>
      <b/>
      <sz val="9"/>
      <color rgb="FF000000"/>
      <name val="Tahoma"/>
      <family val="2"/>
    </font>
    <font>
      <sz val="12"/>
      <color theme="1"/>
      <name val="Calibri (Body)"/>
    </font>
    <font>
      <sz val="14"/>
      <color theme="1"/>
      <name val="Calibri"/>
      <family val="2"/>
      <scheme val="minor"/>
    </font>
    <font>
      <sz val="14"/>
      <color theme="3"/>
      <name val="Calibri"/>
      <family val="2"/>
      <scheme val="minor"/>
    </font>
    <font>
      <b/>
      <sz val="11"/>
      <color rgb="FF0061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C6EFCE"/>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bottom style="thin">
        <color theme="3"/>
      </bottom>
      <diagonal/>
    </border>
    <border>
      <left style="thin">
        <color theme="3"/>
      </left>
      <right style="thin">
        <color theme="3"/>
      </right>
      <top style="thin">
        <color theme="3"/>
      </top>
      <bottom style="thin">
        <color theme="3"/>
      </bottom>
      <diagonal/>
    </border>
    <border>
      <left/>
      <right/>
      <top/>
      <bottom style="double">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3"/>
      </left>
      <right/>
      <top style="thin">
        <color theme="3"/>
      </top>
      <bottom style="thin">
        <color theme="3"/>
      </bottom>
      <diagonal/>
    </border>
    <border>
      <left style="thin">
        <color theme="3"/>
      </left>
      <right/>
      <top style="thin">
        <color theme="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15" fillId="4" borderId="0" applyNumberFormat="0" applyBorder="0" applyAlignment="0" applyProtection="0"/>
  </cellStyleXfs>
  <cellXfs count="128">
    <xf numFmtId="0" fontId="0" fillId="0" borderId="0" xfId="0"/>
    <xf numFmtId="0" fontId="4" fillId="0" borderId="0" xfId="0" applyFont="1" applyAlignment="1">
      <alignment vertical="top"/>
    </xf>
    <xf numFmtId="0" fontId="5" fillId="0" borderId="0" xfId="0" applyFont="1"/>
    <xf numFmtId="8" fontId="0" fillId="0" borderId="0" xfId="0" applyNumberFormat="1"/>
    <xf numFmtId="164" fontId="0" fillId="0" borderId="0" xfId="1" applyNumberFormat="1" applyFont="1"/>
    <xf numFmtId="0" fontId="0" fillId="0" borderId="0" xfId="0" applyAlignment="1">
      <alignment horizontal="center"/>
    </xf>
    <xf numFmtId="0" fontId="7" fillId="0" borderId="0" xfId="0" applyFont="1" applyAlignment="1">
      <alignment vertical="top"/>
    </xf>
    <xf numFmtId="43" fontId="0" fillId="0" borderId="0" xfId="0" applyNumberFormat="1"/>
    <xf numFmtId="0" fontId="6" fillId="0" borderId="0" xfId="0" applyFont="1" applyAlignment="1">
      <alignment horizontal="center"/>
    </xf>
    <xf numFmtId="0" fontId="0" fillId="0" borderId="0" xfId="0" applyAlignment="1">
      <alignment horizontal="center" wrapText="1"/>
    </xf>
    <xf numFmtId="0" fontId="3" fillId="0" borderId="0" xfId="0" applyFont="1"/>
    <xf numFmtId="0" fontId="0" fillId="0" borderId="0" xfId="0" applyFont="1"/>
    <xf numFmtId="0" fontId="0" fillId="2" borderId="0" xfId="0" applyFill="1"/>
    <xf numFmtId="0" fontId="0" fillId="2" borderId="0" xfId="0" applyFill="1" applyAlignment="1">
      <alignment horizontal="center"/>
    </xf>
    <xf numFmtId="164" fontId="0" fillId="2" borderId="0" xfId="1" applyNumberFormat="1" applyFont="1" applyFill="1"/>
    <xf numFmtId="0" fontId="0" fillId="3" borderId="0" xfId="0" applyFill="1" applyAlignment="1">
      <alignment horizontal="center"/>
    </xf>
    <xf numFmtId="164" fontId="0" fillId="3" borderId="0" xfId="1" applyNumberFormat="1" applyFont="1" applyFill="1" applyAlignment="1">
      <alignment horizontal="right"/>
    </xf>
    <xf numFmtId="0" fontId="0" fillId="0" borderId="0" xfId="0" applyFill="1" applyAlignment="1">
      <alignment horizontal="center"/>
    </xf>
    <xf numFmtId="164" fontId="0" fillId="0" borderId="0" xfId="1" applyNumberFormat="1" applyFont="1" applyFill="1" applyAlignment="1">
      <alignment horizontal="right"/>
    </xf>
    <xf numFmtId="164" fontId="0" fillId="3" borderId="0" xfId="1" applyNumberFormat="1" applyFont="1" applyFill="1"/>
    <xf numFmtId="0" fontId="8" fillId="0" borderId="0" xfId="0" applyFont="1" applyAlignment="1">
      <alignment horizontal="left" vertical="center" indent="6" readingOrder="1"/>
    </xf>
    <xf numFmtId="0" fontId="9" fillId="0" borderId="0" xfId="0" applyFont="1" applyAlignment="1">
      <alignment horizontal="left" vertical="center" readingOrder="1"/>
    </xf>
    <xf numFmtId="6" fontId="0" fillId="0" borderId="0" xfId="0" applyNumberFormat="1"/>
    <xf numFmtId="3" fontId="0" fillId="0" borderId="0" xfId="0" applyNumberFormat="1"/>
    <xf numFmtId="0" fontId="9" fillId="0" borderId="0" xfId="0" applyFont="1" applyAlignment="1">
      <alignment horizontal="left" vertical="center" indent="1" readingOrder="1"/>
    </xf>
    <xf numFmtId="0" fontId="0" fillId="0" borderId="0" xfId="0" applyAlignment="1">
      <alignment horizontal="center"/>
    </xf>
    <xf numFmtId="0" fontId="0" fillId="6" borderId="0" xfId="0" applyFill="1"/>
    <xf numFmtId="0" fontId="0" fillId="6" borderId="6" xfId="0" applyFill="1" applyBorder="1"/>
    <xf numFmtId="0" fontId="0" fillId="6" borderId="0" xfId="0" applyFill="1" applyBorder="1"/>
    <xf numFmtId="0" fontId="19" fillId="6" borderId="10" xfId="0" applyFont="1" applyFill="1" applyBorder="1"/>
    <xf numFmtId="0" fontId="0" fillId="6" borderId="11" xfId="0" applyFill="1" applyBorder="1"/>
    <xf numFmtId="0" fontId="5" fillId="6" borderId="0" xfId="0" applyFont="1" applyFill="1" applyBorder="1"/>
    <xf numFmtId="0" fontId="3" fillId="6" borderId="0" xfId="0" applyFont="1" applyFill="1"/>
    <xf numFmtId="0" fontId="3" fillId="6" borderId="0" xfId="0" applyFont="1" applyFill="1" applyAlignment="1">
      <alignment vertical="top" wrapText="1"/>
    </xf>
    <xf numFmtId="0" fontId="9" fillId="6" borderId="0" xfId="0" applyFont="1" applyFill="1" applyAlignment="1">
      <alignment horizontal="left" vertical="center" readingOrder="1"/>
    </xf>
    <xf numFmtId="6" fontId="0" fillId="6" borderId="0" xfId="0" applyNumberFormat="1" applyFill="1"/>
    <xf numFmtId="3" fontId="0" fillId="6" borderId="0" xfId="0" applyNumberFormat="1" applyFill="1"/>
    <xf numFmtId="164" fontId="0" fillId="6" borderId="6" xfId="1" applyNumberFormat="1" applyFont="1" applyFill="1" applyBorder="1"/>
    <xf numFmtId="164" fontId="0" fillId="6" borderId="7" xfId="0" applyNumberFormat="1" applyFill="1" applyBorder="1"/>
    <xf numFmtId="164" fontId="0" fillId="6" borderId="0" xfId="1" applyNumberFormat="1" applyFont="1" applyFill="1" applyBorder="1"/>
    <xf numFmtId="164" fontId="0" fillId="6" borderId="9" xfId="0" applyNumberFormat="1" applyFill="1" applyBorder="1"/>
    <xf numFmtId="164" fontId="0" fillId="6" borderId="11" xfId="1" applyNumberFormat="1" applyFont="1" applyFill="1" applyBorder="1"/>
    <xf numFmtId="164" fontId="0" fillId="6" borderId="12" xfId="0" applyNumberFormat="1" applyFont="1" applyFill="1" applyBorder="1"/>
    <xf numFmtId="0" fontId="5" fillId="6" borderId="15" xfId="0" applyFont="1" applyFill="1" applyBorder="1"/>
    <xf numFmtId="0" fontId="0" fillId="6" borderId="16" xfId="0" applyFill="1" applyBorder="1"/>
    <xf numFmtId="0" fontId="0" fillId="6" borderId="17" xfId="0" applyFill="1" applyBorder="1"/>
    <xf numFmtId="0" fontId="0" fillId="6" borderId="5" xfId="0" applyFill="1" applyBorder="1"/>
    <xf numFmtId="0" fontId="0" fillId="6" borderId="7" xfId="0" applyFill="1" applyBorder="1"/>
    <xf numFmtId="0" fontId="0" fillId="6" borderId="8" xfId="0" applyFill="1" applyBorder="1"/>
    <xf numFmtId="0" fontId="0" fillId="6" borderId="9" xfId="0" applyFill="1" applyBorder="1"/>
    <xf numFmtId="0" fontId="19" fillId="6" borderId="0" xfId="0" applyFont="1" applyFill="1" applyBorder="1"/>
    <xf numFmtId="0" fontId="13" fillId="6" borderId="0" xfId="0" applyFont="1" applyFill="1" applyBorder="1" applyAlignment="1">
      <alignment vertical="top"/>
    </xf>
    <xf numFmtId="0" fontId="0" fillId="6" borderId="0" xfId="0" applyFill="1" applyBorder="1" applyAlignment="1">
      <alignment horizontal="center" wrapText="1"/>
    </xf>
    <xf numFmtId="0" fontId="3" fillId="6" borderId="0" xfId="0" applyFont="1" applyFill="1" applyBorder="1"/>
    <xf numFmtId="164" fontId="3" fillId="6" borderId="0" xfId="0" applyNumberFormat="1" applyFont="1" applyFill="1" applyBorder="1"/>
    <xf numFmtId="0" fontId="3" fillId="6" borderId="0" xfId="0" applyFont="1" applyFill="1" applyBorder="1" applyAlignment="1">
      <alignment horizontal="center"/>
    </xf>
    <xf numFmtId="0" fontId="0" fillId="6" borderId="0" xfId="0" applyFill="1" applyBorder="1" applyAlignment="1">
      <alignment wrapText="1"/>
    </xf>
    <xf numFmtId="165" fontId="0" fillId="6" borderId="0" xfId="2" applyNumberFormat="1" applyFont="1" applyFill="1" applyBorder="1"/>
    <xf numFmtId="165" fontId="3" fillId="0" borderId="0" xfId="2" applyNumberFormat="1" applyFont="1" applyFill="1" applyBorder="1"/>
    <xf numFmtId="0" fontId="0" fillId="6" borderId="10" xfId="0" applyFill="1" applyBorder="1"/>
    <xf numFmtId="0" fontId="0" fillId="6" borderId="12" xfId="0" applyFill="1" applyBorder="1"/>
    <xf numFmtId="0" fontId="0" fillId="6" borderId="9" xfId="0" applyFill="1" applyBorder="1" applyAlignment="1">
      <alignment horizontal="left"/>
    </xf>
    <xf numFmtId="164" fontId="0" fillId="6" borderId="9" xfId="0" applyNumberFormat="1" applyFont="1" applyFill="1" applyBorder="1"/>
    <xf numFmtId="0" fontId="12" fillId="6" borderId="0" xfId="0" applyFont="1" applyFill="1" applyBorder="1" applyAlignment="1">
      <alignment vertical="top" wrapText="1"/>
    </xf>
    <xf numFmtId="0" fontId="3" fillId="6" borderId="0" xfId="0" applyFont="1" applyFill="1" applyBorder="1" applyAlignment="1">
      <alignment vertical="top" wrapText="1"/>
    </xf>
    <xf numFmtId="0" fontId="12" fillId="6" borderId="9" xfId="0" applyFont="1" applyFill="1" applyBorder="1" applyAlignment="1">
      <alignment horizontal="left" vertical="top" wrapText="1"/>
    </xf>
    <xf numFmtId="0" fontId="0" fillId="6" borderId="9" xfId="0" applyFill="1" applyBorder="1" applyAlignment="1">
      <alignment horizontal="center" wrapText="1"/>
    </xf>
    <xf numFmtId="164" fontId="3" fillId="0" borderId="9" xfId="0" applyNumberFormat="1" applyFont="1" applyFill="1" applyBorder="1"/>
    <xf numFmtId="164" fontId="3" fillId="6" borderId="9" xfId="0" applyNumberFormat="1" applyFont="1" applyFill="1" applyBorder="1"/>
    <xf numFmtId="0" fontId="3" fillId="6" borderId="9" xfId="0" applyFont="1" applyFill="1" applyBorder="1" applyAlignment="1">
      <alignment horizontal="center"/>
    </xf>
    <xf numFmtId="0" fontId="0" fillId="6" borderId="9" xfId="0" applyFill="1" applyBorder="1" applyAlignment="1">
      <alignment horizontal="center"/>
    </xf>
    <xf numFmtId="44" fontId="0" fillId="6" borderId="9" xfId="2" applyFont="1" applyFill="1" applyBorder="1" applyAlignment="1">
      <alignment horizontal="center"/>
    </xf>
    <xf numFmtId="165" fontId="3" fillId="6" borderId="0" xfId="2" applyNumberFormat="1" applyFont="1" applyFill="1" applyBorder="1"/>
    <xf numFmtId="165" fontId="3" fillId="6" borderId="3" xfId="2" applyNumberFormat="1" applyFont="1" applyFill="1" applyBorder="1"/>
    <xf numFmtId="44" fontId="3" fillId="6" borderId="0" xfId="2" applyFont="1" applyFill="1" applyBorder="1"/>
    <xf numFmtId="44" fontId="0" fillId="0" borderId="0" xfId="0" applyNumberFormat="1"/>
    <xf numFmtId="14" fontId="0" fillId="6" borderId="0" xfId="0" applyNumberFormat="1" applyFill="1" applyBorder="1" applyAlignment="1">
      <alignment horizontal="center"/>
    </xf>
    <xf numFmtId="14" fontId="0" fillId="6" borderId="0" xfId="0" applyNumberFormat="1" applyFill="1"/>
    <xf numFmtId="44" fontId="0" fillId="6" borderId="0" xfId="0" applyNumberFormat="1" applyFill="1"/>
    <xf numFmtId="0" fontId="13" fillId="6" borderId="11" xfId="0" applyFont="1" applyFill="1" applyBorder="1" applyAlignment="1">
      <alignment vertical="top"/>
    </xf>
    <xf numFmtId="0" fontId="0" fillId="3" borderId="0" xfId="0" applyFill="1" applyBorder="1"/>
    <xf numFmtId="0" fontId="14" fillId="3" borderId="0" xfId="0" applyFont="1" applyFill="1" applyBorder="1"/>
    <xf numFmtId="0" fontId="0" fillId="3" borderId="0" xfId="0" applyFill="1" applyBorder="1" applyAlignment="1">
      <alignment horizontal="right"/>
    </xf>
    <xf numFmtId="0" fontId="0" fillId="3" borderId="0" xfId="0" applyFill="1" applyBorder="1" applyAlignment="1">
      <alignment horizontal="left"/>
    </xf>
    <xf numFmtId="44" fontId="0" fillId="3" borderId="0" xfId="2" applyFont="1" applyFill="1" applyBorder="1" applyAlignment="1">
      <alignment horizontal="center"/>
    </xf>
    <xf numFmtId="44" fontId="0" fillId="3" borderId="0" xfId="2" applyFont="1" applyFill="1" applyBorder="1"/>
    <xf numFmtId="0" fontId="0" fillId="3" borderId="0" xfId="0" applyFill="1" applyBorder="1" applyAlignment="1">
      <alignment horizontal="center"/>
    </xf>
    <xf numFmtId="0" fontId="0" fillId="3" borderId="0" xfId="0" applyFill="1"/>
    <xf numFmtId="0" fontId="0" fillId="3" borderId="4" xfId="0" applyFill="1" applyBorder="1" applyAlignment="1">
      <alignment horizontal="center" vertical="center"/>
    </xf>
    <xf numFmtId="14" fontId="0" fillId="3" borderId="4" xfId="0" applyNumberFormat="1" applyFill="1" applyBorder="1" applyAlignment="1">
      <alignment horizontal="center" vertical="center"/>
    </xf>
    <xf numFmtId="44" fontId="0" fillId="3" borderId="4" xfId="2" applyFont="1" applyFill="1" applyBorder="1" applyAlignment="1">
      <alignment horizontal="center" vertical="center"/>
    </xf>
    <xf numFmtId="14" fontId="3" fillId="3" borderId="0" xfId="0" applyNumberFormat="1" applyFont="1" applyFill="1" applyBorder="1" applyAlignment="1">
      <alignment horizontal="center"/>
    </xf>
    <xf numFmtId="0" fontId="19" fillId="6" borderId="15" xfId="0" applyFont="1" applyFill="1" applyBorder="1"/>
    <xf numFmtId="0" fontId="0" fillId="3" borderId="4" xfId="0" applyFill="1" applyBorder="1" applyAlignment="1">
      <alignment horizontal="center"/>
    </xf>
    <xf numFmtId="0" fontId="0" fillId="6" borderId="0" xfId="0" applyFill="1" applyBorder="1" applyAlignment="1">
      <alignment horizontal="center" wrapText="1"/>
    </xf>
    <xf numFmtId="0" fontId="0" fillId="6" borderId="0" xfId="0" applyFill="1" applyBorder="1" applyAlignment="1">
      <alignment horizontal="right" wrapText="1"/>
    </xf>
    <xf numFmtId="0" fontId="0" fillId="6" borderId="0" xfId="0" applyFill="1" applyBorder="1" applyAlignment="1">
      <alignment horizontal="right"/>
    </xf>
    <xf numFmtId="0" fontId="12" fillId="6" borderId="11" xfId="0" applyFont="1" applyFill="1" applyBorder="1" applyAlignment="1">
      <alignment horizontal="left" vertical="top" wrapText="1"/>
    </xf>
    <xf numFmtId="0" fontId="12" fillId="6" borderId="0" xfId="0" applyFont="1" applyFill="1" applyBorder="1" applyAlignment="1">
      <alignment horizontal="left" vertical="top" wrapText="1"/>
    </xf>
    <xf numFmtId="0" fontId="5" fillId="6" borderId="10" xfId="0" applyFont="1" applyFill="1" applyBorder="1" applyAlignment="1">
      <alignment horizontal="left"/>
    </xf>
    <xf numFmtId="0" fontId="5" fillId="6" borderId="11" xfId="0" applyFont="1" applyFill="1" applyBorder="1" applyAlignment="1">
      <alignment horizontal="left"/>
    </xf>
    <xf numFmtId="0" fontId="5" fillId="6" borderId="8" xfId="0" applyFont="1" applyFill="1" applyBorder="1" applyAlignment="1">
      <alignment horizontal="left"/>
    </xf>
    <xf numFmtId="0" fontId="5" fillId="6" borderId="0" xfId="0" applyFont="1" applyFill="1" applyBorder="1" applyAlignment="1">
      <alignment horizontal="left"/>
    </xf>
    <xf numFmtId="0" fontId="4" fillId="6" borderId="8" xfId="0" applyFont="1" applyFill="1" applyBorder="1" applyAlignment="1">
      <alignment horizontal="left" vertical="top"/>
    </xf>
    <xf numFmtId="0" fontId="4" fillId="6" borderId="0" xfId="0" applyFont="1" applyFill="1" applyBorder="1" applyAlignment="1">
      <alignment horizontal="left" vertical="top"/>
    </xf>
    <xf numFmtId="0" fontId="4" fillId="6" borderId="5" xfId="0" applyFont="1" applyFill="1" applyBorder="1" applyAlignment="1">
      <alignment horizontal="left" vertical="top"/>
    </xf>
    <xf numFmtId="0" fontId="4" fillId="6" borderId="6" xfId="0" applyFont="1" applyFill="1" applyBorder="1" applyAlignment="1">
      <alignment horizontal="left" vertical="top"/>
    </xf>
    <xf numFmtId="0" fontId="0" fillId="0" borderId="0" xfId="0" applyAlignment="1">
      <alignment horizontal="center"/>
    </xf>
    <xf numFmtId="0" fontId="0" fillId="3" borderId="0" xfId="0" applyFill="1" applyAlignment="1">
      <alignment horizontal="center"/>
    </xf>
    <xf numFmtId="0" fontId="0" fillId="0" borderId="0" xfId="0" applyFill="1" applyAlignment="1">
      <alignment horizontal="center"/>
    </xf>
    <xf numFmtId="0" fontId="0" fillId="3" borderId="0" xfId="0" applyFill="1" applyAlignment="1">
      <alignment horizontal="center" wrapText="1"/>
    </xf>
    <xf numFmtId="0" fontId="7" fillId="0" borderId="0" xfId="0" applyFont="1" applyAlignment="1">
      <alignment vertical="top" wrapText="1"/>
    </xf>
    <xf numFmtId="0" fontId="0" fillId="3" borderId="16" xfId="0" applyFill="1" applyBorder="1" applyAlignment="1" applyProtection="1">
      <alignment horizontal="left"/>
      <protection locked="0"/>
    </xf>
    <xf numFmtId="0" fontId="0" fillId="3" borderId="11" xfId="0" applyFill="1" applyBorder="1" applyAlignment="1" applyProtection="1">
      <alignment horizontal="left"/>
      <protection locked="0"/>
    </xf>
    <xf numFmtId="164" fontId="20" fillId="6" borderId="2" xfId="1" applyNumberFormat="1" applyFont="1" applyFill="1" applyBorder="1" applyAlignment="1" applyProtection="1">
      <alignment horizontal="center"/>
      <protection locked="0"/>
    </xf>
    <xf numFmtId="164" fontId="20" fillId="6" borderId="2" xfId="1" applyNumberFormat="1" applyFont="1" applyFill="1" applyBorder="1" applyProtection="1">
      <protection locked="0"/>
    </xf>
    <xf numFmtId="44" fontId="20" fillId="6" borderId="2" xfId="2" applyFont="1" applyFill="1" applyBorder="1" applyProtection="1">
      <protection locked="0"/>
    </xf>
    <xf numFmtId="14" fontId="20" fillId="6" borderId="2" xfId="1" applyNumberFormat="1" applyFont="1" applyFill="1" applyBorder="1" applyProtection="1">
      <protection locked="0"/>
    </xf>
    <xf numFmtId="0" fontId="10" fillId="6" borderId="13" xfId="0" applyFont="1" applyFill="1" applyBorder="1" applyAlignment="1" applyProtection="1">
      <alignment horizontal="center"/>
      <protection locked="0"/>
    </xf>
    <xf numFmtId="0" fontId="10" fillId="6" borderId="14" xfId="0" applyFont="1" applyFill="1" applyBorder="1" applyAlignment="1" applyProtection="1">
      <alignment horizontal="center"/>
      <protection locked="0"/>
    </xf>
    <xf numFmtId="0" fontId="0" fillId="5" borderId="0" xfId="0" applyFill="1" applyBorder="1" applyAlignment="1" applyProtection="1">
      <alignment horizontal="right"/>
      <protection locked="0"/>
    </xf>
    <xf numFmtId="0" fontId="0" fillId="3" borderId="7" xfId="0" applyFill="1" applyBorder="1" applyAlignment="1" applyProtection="1"/>
    <xf numFmtId="0" fontId="0" fillId="3" borderId="9" xfId="0" applyFill="1" applyBorder="1" applyAlignment="1" applyProtection="1"/>
    <xf numFmtId="0" fontId="0" fillId="3" borderId="12" xfId="0" applyFill="1" applyBorder="1" applyAlignment="1" applyProtection="1"/>
    <xf numFmtId="0" fontId="21" fillId="4" borderId="0" xfId="3" applyFont="1" applyBorder="1" applyAlignment="1">
      <alignment horizontal="center"/>
    </xf>
    <xf numFmtId="0" fontId="0" fillId="6" borderId="4" xfId="0" applyFill="1" applyBorder="1" applyAlignment="1" applyProtection="1">
      <alignment horizontal="center"/>
    </xf>
    <xf numFmtId="0" fontId="10" fillId="5" borderId="1" xfId="0" applyFont="1" applyFill="1" applyBorder="1" applyAlignment="1">
      <alignment horizontal="center" wrapText="1"/>
    </xf>
    <xf numFmtId="0" fontId="0" fillId="5" borderId="0" xfId="0" applyFill="1" applyBorder="1" applyAlignment="1">
      <alignment horizontal="center"/>
    </xf>
  </cellXfs>
  <cellStyles count="4">
    <cellStyle name="Comma" xfId="1" builtinId="3"/>
    <cellStyle name="Currency" xfId="2" builtinId="4"/>
    <cellStyle name="Good" xfId="3" builtinId="26"/>
    <cellStyle name="Normal" xfId="0" builtinId="0"/>
  </cellStyles>
  <dxfs count="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border>
        <left style="thin">
          <color auto="1"/>
        </left>
        <right style="thin">
          <color auto="1"/>
        </right>
        <top style="thin">
          <color auto="1"/>
        </top>
        <bottom style="thin">
          <color auto="1"/>
        </bottom>
      </border>
    </dxf>
    <dxf>
      <font>
        <color rgb="FF006100"/>
      </font>
      <fill>
        <patternFill>
          <bgColor rgb="FFC6EF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59819</xdr:colOff>
      <xdr:row>1</xdr:row>
      <xdr:rowOff>41414</xdr:rowOff>
    </xdr:from>
    <xdr:to>
      <xdr:col>8</xdr:col>
      <xdr:colOff>376951</xdr:colOff>
      <xdr:row>5</xdr:row>
      <xdr:rowOff>132063</xdr:rowOff>
    </xdr:to>
    <xdr:pic>
      <xdr:nvPicPr>
        <xdr:cNvPr id="3" name="Picture 2">
          <a:extLst>
            <a:ext uri="{FF2B5EF4-FFF2-40B4-BE49-F238E27FC236}">
              <a16:creationId xmlns:a16="http://schemas.microsoft.com/office/drawing/2014/main" id="{278AD730-4A43-3449-9547-B9C8E33E0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8189" y="234675"/>
          <a:ext cx="2084088" cy="86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219"/>
  <sheetViews>
    <sheetView tabSelected="1" view="pageBreakPreview" zoomScale="86" zoomScaleNormal="81" workbookViewId="0">
      <selection activeCell="J48" sqref="J48"/>
    </sheetView>
  </sheetViews>
  <sheetFormatPr baseColWidth="10" defaultColWidth="8.83203125" defaultRowHeight="15"/>
  <cols>
    <col min="1" max="1" width="3.33203125" style="26" customWidth="1"/>
    <col min="2" max="2" width="5.6640625" style="26" customWidth="1"/>
    <col min="3" max="3" width="14.33203125" style="26" bestFit="1" customWidth="1"/>
    <col min="4" max="4" width="10.6640625" style="26" customWidth="1"/>
    <col min="5" max="8" width="11.6640625" style="26" customWidth="1"/>
    <col min="9" max="9" width="12.33203125" style="26" customWidth="1"/>
    <col min="10" max="10" width="24" customWidth="1"/>
    <col min="11" max="11" width="23.33203125" bestFit="1" customWidth="1"/>
    <col min="12" max="12" width="5.5" customWidth="1"/>
    <col min="13" max="13" width="3.1640625" style="26" customWidth="1"/>
    <col min="14" max="14" width="22.1640625" style="26" hidden="1" customWidth="1"/>
    <col min="15" max="15" width="10.83203125" style="26" hidden="1" customWidth="1"/>
    <col min="16" max="18" width="8.83203125" style="26" hidden="1" customWidth="1"/>
    <col min="19" max="19" width="10.6640625" style="26" hidden="1" customWidth="1"/>
    <col min="20" max="20" width="8.83203125" style="26" hidden="1" customWidth="1"/>
    <col min="21" max="21" width="10.33203125" style="26" hidden="1" customWidth="1"/>
    <col min="22" max="22" width="10.1640625" style="26" hidden="1" customWidth="1"/>
    <col min="23" max="23" width="8.6640625" style="26" hidden="1" customWidth="1"/>
    <col min="24" max="27" width="8.83203125" style="26" hidden="1" customWidth="1"/>
    <col min="28" max="28" width="8.83203125" style="26" customWidth="1"/>
  </cols>
  <sheetData>
    <row r="1" spans="2:14" s="26" customFormat="1"/>
    <row r="2" spans="2:14" s="26" customFormat="1">
      <c r="B2" s="46"/>
      <c r="C2" s="27"/>
      <c r="D2" s="27"/>
      <c r="E2" s="27"/>
      <c r="F2" s="27"/>
      <c r="G2" s="27"/>
      <c r="H2" s="27"/>
      <c r="I2" s="27"/>
      <c r="J2" s="27"/>
      <c r="K2" s="27"/>
      <c r="L2" s="47"/>
      <c r="M2" s="28"/>
      <c r="N2" s="28"/>
    </row>
    <row r="3" spans="2:14" s="26" customFormat="1">
      <c r="B3" s="48"/>
      <c r="C3" s="28"/>
      <c r="D3" s="28"/>
      <c r="E3" s="28"/>
      <c r="F3" s="28"/>
      <c r="G3" s="28"/>
      <c r="H3" s="28"/>
      <c r="I3" s="28"/>
      <c r="J3" s="28"/>
      <c r="K3" s="28"/>
      <c r="L3" s="49"/>
      <c r="M3" s="28"/>
      <c r="N3" s="28"/>
    </row>
    <row r="4" spans="2:14" s="26" customFormat="1">
      <c r="B4" s="48"/>
      <c r="C4" s="28"/>
      <c r="D4" s="28"/>
      <c r="E4" s="28"/>
      <c r="F4" s="28"/>
      <c r="G4" s="28"/>
      <c r="H4" s="28"/>
      <c r="I4" s="28"/>
      <c r="J4" s="28"/>
      <c r="K4" s="28"/>
      <c r="L4" s="49"/>
      <c r="M4" s="28"/>
      <c r="N4" s="28"/>
    </row>
    <row r="5" spans="2:14" s="26" customFormat="1">
      <c r="B5" s="48"/>
      <c r="C5" s="28"/>
      <c r="D5" s="28"/>
      <c r="E5" s="28"/>
      <c r="F5" s="28"/>
      <c r="G5" s="28"/>
      <c r="H5" s="28"/>
      <c r="I5" s="28"/>
      <c r="J5" s="28"/>
      <c r="K5" s="28"/>
      <c r="L5" s="49"/>
      <c r="M5" s="28"/>
      <c r="N5" s="28"/>
    </row>
    <row r="6" spans="2:14" s="26" customFormat="1">
      <c r="B6" s="48"/>
      <c r="C6" s="28"/>
      <c r="D6" s="28"/>
      <c r="E6" s="28"/>
      <c r="F6" s="28"/>
      <c r="G6" s="28"/>
      <c r="H6" s="28"/>
      <c r="I6" s="28"/>
      <c r="J6" s="28"/>
      <c r="K6" s="28"/>
      <c r="L6" s="49"/>
      <c r="M6" s="28"/>
      <c r="N6" s="28"/>
    </row>
    <row r="7" spans="2:14" s="26" customFormat="1" ht="19">
      <c r="B7" s="48"/>
      <c r="C7" s="92" t="s">
        <v>51</v>
      </c>
      <c r="D7" s="44"/>
      <c r="E7" s="112"/>
      <c r="F7" s="112"/>
      <c r="G7" s="112"/>
      <c r="H7" s="112"/>
      <c r="I7" s="112"/>
      <c r="J7" s="112"/>
      <c r="K7" s="121"/>
      <c r="L7" s="61"/>
      <c r="M7" s="28"/>
      <c r="N7" s="28"/>
    </row>
    <row r="8" spans="2:14" s="26" customFormat="1" ht="19">
      <c r="B8" s="48"/>
      <c r="C8" s="92" t="s">
        <v>52</v>
      </c>
      <c r="D8" s="44"/>
      <c r="E8" s="112"/>
      <c r="F8" s="112"/>
      <c r="G8" s="112"/>
      <c r="H8" s="112"/>
      <c r="I8" s="112"/>
      <c r="J8" s="112"/>
      <c r="K8" s="122"/>
      <c r="L8" s="61"/>
      <c r="M8" s="28"/>
      <c r="N8" s="28"/>
    </row>
    <row r="9" spans="2:14" s="26" customFormat="1" ht="19">
      <c r="B9" s="48"/>
      <c r="C9" s="92" t="s">
        <v>53</v>
      </c>
      <c r="D9" s="44"/>
      <c r="E9" s="112"/>
      <c r="F9" s="112"/>
      <c r="G9" s="112"/>
      <c r="H9" s="112"/>
      <c r="I9" s="112"/>
      <c r="J9" s="112"/>
      <c r="K9" s="122"/>
      <c r="L9" s="61"/>
      <c r="M9" s="28"/>
      <c r="N9" s="28"/>
    </row>
    <row r="10" spans="2:14" s="26" customFormat="1" ht="19">
      <c r="B10" s="48"/>
      <c r="C10" s="29" t="s">
        <v>78</v>
      </c>
      <c r="D10" s="30"/>
      <c r="E10" s="113"/>
      <c r="F10" s="113"/>
      <c r="G10" s="113"/>
      <c r="H10" s="113"/>
      <c r="I10" s="113"/>
      <c r="J10" s="113"/>
      <c r="K10" s="123"/>
      <c r="L10" s="61"/>
      <c r="M10" s="28"/>
      <c r="N10" s="28"/>
    </row>
    <row r="11" spans="2:14" s="26" customFormat="1" ht="19">
      <c r="B11" s="48"/>
      <c r="C11" s="28"/>
      <c r="D11" s="50"/>
      <c r="E11" s="28"/>
      <c r="F11" s="28"/>
      <c r="G11" s="28"/>
      <c r="H11" s="28"/>
      <c r="I11" s="28"/>
      <c r="J11" s="127" t="s">
        <v>82</v>
      </c>
      <c r="K11" s="28"/>
      <c r="L11" s="49"/>
      <c r="M11" s="28"/>
      <c r="N11" s="28"/>
    </row>
    <row r="12" spans="2:14" s="26" customFormat="1" ht="19">
      <c r="B12" s="48"/>
      <c r="C12" s="28"/>
      <c r="D12" s="50" t="s">
        <v>57</v>
      </c>
      <c r="E12" s="28"/>
      <c r="F12" s="28"/>
      <c r="G12" s="28"/>
      <c r="H12" s="28"/>
      <c r="I12" s="28"/>
      <c r="J12" s="114" t="s">
        <v>58</v>
      </c>
      <c r="K12" s="28"/>
      <c r="L12" s="49"/>
      <c r="M12" s="28"/>
      <c r="N12" s="28"/>
    </row>
    <row r="13" spans="2:14" s="26" customFormat="1" ht="19">
      <c r="B13" s="48"/>
      <c r="C13" s="28"/>
      <c r="D13" s="50" t="s">
        <v>54</v>
      </c>
      <c r="E13" s="28"/>
      <c r="F13" s="28"/>
      <c r="G13" s="28"/>
      <c r="H13" s="28"/>
      <c r="I13" s="28"/>
      <c r="J13" s="115">
        <v>0</v>
      </c>
      <c r="K13" s="28"/>
      <c r="L13" s="49"/>
      <c r="M13" s="28"/>
      <c r="N13" s="28"/>
    </row>
    <row r="14" spans="2:14" s="26" customFormat="1" ht="19">
      <c r="B14" s="48"/>
      <c r="C14" s="28"/>
      <c r="D14" s="50" t="s">
        <v>55</v>
      </c>
      <c r="E14" s="28"/>
      <c r="F14" s="28"/>
      <c r="G14" s="28"/>
      <c r="H14" s="28"/>
      <c r="I14" s="28"/>
      <c r="J14" s="116">
        <v>0</v>
      </c>
      <c r="K14" s="28"/>
      <c r="L14" s="49"/>
      <c r="M14" s="28"/>
      <c r="N14" s="28"/>
    </row>
    <row r="15" spans="2:14" s="26" customFormat="1" ht="19">
      <c r="B15" s="48"/>
      <c r="C15" s="28"/>
      <c r="D15" s="50" t="s">
        <v>64</v>
      </c>
      <c r="E15" s="28"/>
      <c r="F15" s="28"/>
      <c r="G15" s="28"/>
      <c r="H15" s="28"/>
      <c r="I15" s="28"/>
      <c r="J15" s="117">
        <v>43966</v>
      </c>
      <c r="K15" s="28"/>
      <c r="L15" s="49"/>
      <c r="M15" s="28"/>
      <c r="N15" s="28"/>
    </row>
    <row r="16" spans="2:14" s="26" customFormat="1" ht="19">
      <c r="B16" s="48"/>
      <c r="C16" s="28"/>
      <c r="D16" s="50" t="s">
        <v>74</v>
      </c>
      <c r="E16" s="28"/>
      <c r="F16" s="28"/>
      <c r="G16" s="28"/>
      <c r="H16" s="28"/>
      <c r="I16" s="28"/>
      <c r="J16" s="114" t="s">
        <v>72</v>
      </c>
      <c r="K16" s="28"/>
      <c r="L16" s="49"/>
      <c r="M16" s="28"/>
      <c r="N16" s="28"/>
    </row>
    <row r="17" spans="2:32" s="26" customFormat="1" ht="19">
      <c r="B17" s="48"/>
      <c r="C17" s="28"/>
      <c r="D17" s="50"/>
      <c r="E17" s="28"/>
      <c r="F17" s="28"/>
      <c r="G17" s="28"/>
      <c r="H17" s="28"/>
      <c r="I17" s="28"/>
      <c r="J17" s="28"/>
      <c r="K17" s="28"/>
      <c r="L17" s="49"/>
      <c r="M17" s="28"/>
      <c r="N17" s="28"/>
      <c r="AF17"/>
    </row>
    <row r="18" spans="2:32" s="26" customFormat="1" ht="42.5" customHeight="1">
      <c r="B18" s="48"/>
      <c r="C18" s="51" t="s">
        <v>41</v>
      </c>
      <c r="D18" s="98" t="s">
        <v>46</v>
      </c>
      <c r="E18" s="98"/>
      <c r="F18" s="98"/>
      <c r="G18" s="98"/>
      <c r="H18" s="98"/>
      <c r="I18" s="98"/>
      <c r="J18" s="98"/>
      <c r="K18" s="98"/>
      <c r="L18" s="65"/>
      <c r="M18" s="63"/>
      <c r="N18" s="63"/>
    </row>
    <row r="19" spans="2:32" s="26" customFormat="1" ht="19" customHeight="1">
      <c r="B19" s="48"/>
      <c r="C19" s="51"/>
      <c r="D19" s="98"/>
      <c r="E19" s="98"/>
      <c r="F19" s="98"/>
      <c r="G19" s="98"/>
      <c r="H19" s="98"/>
      <c r="I19" s="98"/>
      <c r="J19" s="98"/>
      <c r="K19" s="98"/>
      <c r="L19" s="65"/>
      <c r="M19" s="63"/>
      <c r="N19" s="63"/>
    </row>
    <row r="20" spans="2:32" s="26" customFormat="1" ht="29.5" customHeight="1">
      <c r="B20" s="48"/>
      <c r="C20" s="126" t="s">
        <v>44</v>
      </c>
      <c r="D20" s="28"/>
      <c r="E20" s="28"/>
      <c r="F20" s="28"/>
      <c r="G20" s="28"/>
      <c r="H20" s="28"/>
      <c r="I20" s="28"/>
      <c r="J20" s="52" t="s">
        <v>37</v>
      </c>
      <c r="K20" s="52" t="s">
        <v>36</v>
      </c>
      <c r="L20" s="66"/>
      <c r="M20" s="28"/>
      <c r="N20" s="28"/>
      <c r="U20" s="26">
        <v>0</v>
      </c>
    </row>
    <row r="21" spans="2:32" s="26" customFormat="1" ht="16">
      <c r="B21" s="48"/>
      <c r="C21" s="118">
        <v>0</v>
      </c>
      <c r="D21" s="105" t="s">
        <v>7</v>
      </c>
      <c r="E21" s="106"/>
      <c r="F21" s="106"/>
      <c r="G21" s="106"/>
      <c r="H21" s="106"/>
      <c r="I21" s="106"/>
      <c r="J21" s="37">
        <v>402.09</v>
      </c>
      <c r="K21" s="38">
        <f t="shared" ref="K21:K27" si="0">C21*J21</f>
        <v>0</v>
      </c>
      <c r="L21" s="40"/>
      <c r="M21" s="28"/>
      <c r="N21" s="28"/>
      <c r="Q21" s="26">
        <f>IF(J16=W21,1,IF(W22,0))</f>
        <v>1</v>
      </c>
      <c r="T21" s="26" t="s">
        <v>48</v>
      </c>
      <c r="U21" s="26">
        <v>1</v>
      </c>
      <c r="W21" s="26" t="s">
        <v>72</v>
      </c>
    </row>
    <row r="22" spans="2:32" s="26" customFormat="1" ht="16">
      <c r="B22" s="48"/>
      <c r="C22" s="118">
        <v>0</v>
      </c>
      <c r="D22" s="101" t="s">
        <v>4</v>
      </c>
      <c r="E22" s="102"/>
      <c r="F22" s="102"/>
      <c r="G22" s="102"/>
      <c r="H22" s="102"/>
      <c r="I22" s="102"/>
      <c r="J22" s="39">
        <v>377.25</v>
      </c>
      <c r="K22" s="40">
        <f t="shared" si="0"/>
        <v>0</v>
      </c>
      <c r="L22" s="40"/>
      <c r="M22" s="28"/>
      <c r="N22" s="28"/>
      <c r="R22" s="77">
        <f>J15+90</f>
        <v>44056</v>
      </c>
      <c r="T22" s="26" t="s">
        <v>27</v>
      </c>
      <c r="U22" s="26">
        <v>2</v>
      </c>
      <c r="W22" s="26" t="s">
        <v>73</v>
      </c>
    </row>
    <row r="23" spans="2:32" s="26" customFormat="1" ht="16">
      <c r="B23" s="48"/>
      <c r="C23" s="118">
        <v>0</v>
      </c>
      <c r="D23" s="103" t="s">
        <v>5</v>
      </c>
      <c r="E23" s="104"/>
      <c r="F23" s="104"/>
      <c r="G23" s="104"/>
      <c r="H23" s="104"/>
      <c r="I23" s="104"/>
      <c r="J23" s="39">
        <v>314.27</v>
      </c>
      <c r="K23" s="40">
        <f t="shared" si="0"/>
        <v>0</v>
      </c>
      <c r="L23" s="40"/>
      <c r="M23" s="28"/>
      <c r="N23" s="28"/>
      <c r="R23" s="77">
        <f>J15+180</f>
        <v>44146</v>
      </c>
      <c r="T23" s="26" t="s">
        <v>28</v>
      </c>
      <c r="U23" s="26">
        <v>3</v>
      </c>
    </row>
    <row r="24" spans="2:32" s="26" customFormat="1" ht="16">
      <c r="B24" s="48"/>
      <c r="C24" s="118">
        <v>0</v>
      </c>
      <c r="D24" s="101" t="s">
        <v>10</v>
      </c>
      <c r="E24" s="102"/>
      <c r="F24" s="102"/>
      <c r="G24" s="102"/>
      <c r="H24" s="102"/>
      <c r="I24" s="102"/>
      <c r="J24" s="39">
        <v>591.66</v>
      </c>
      <c r="K24" s="40">
        <f t="shared" si="0"/>
        <v>0</v>
      </c>
      <c r="L24" s="40"/>
      <c r="M24" s="28"/>
      <c r="N24" s="28"/>
      <c r="U24" s="26">
        <v>4</v>
      </c>
    </row>
    <row r="25" spans="2:32" s="26" customFormat="1" ht="16">
      <c r="B25" s="48"/>
      <c r="C25" s="118">
        <v>0</v>
      </c>
      <c r="D25" s="103" t="s">
        <v>8</v>
      </c>
      <c r="E25" s="104"/>
      <c r="F25" s="104"/>
      <c r="G25" s="104"/>
      <c r="H25" s="104"/>
      <c r="I25" s="104"/>
      <c r="J25" s="39">
        <v>356.29</v>
      </c>
      <c r="K25" s="40">
        <f t="shared" si="0"/>
        <v>0</v>
      </c>
      <c r="L25" s="40"/>
      <c r="M25" s="28"/>
      <c r="N25" s="28"/>
      <c r="U25" s="26">
        <v>5</v>
      </c>
    </row>
    <row r="26" spans="2:32" s="26" customFormat="1" ht="16">
      <c r="B26" s="48"/>
      <c r="C26" s="118">
        <v>0</v>
      </c>
      <c r="D26" s="101" t="s">
        <v>9</v>
      </c>
      <c r="E26" s="102"/>
      <c r="F26" s="102"/>
      <c r="G26" s="102"/>
      <c r="H26" s="102"/>
      <c r="I26" s="102"/>
      <c r="J26" s="39">
        <v>242.66</v>
      </c>
      <c r="K26" s="40">
        <f t="shared" si="0"/>
        <v>0</v>
      </c>
      <c r="L26" s="40"/>
      <c r="M26" s="28"/>
      <c r="N26" s="28"/>
    </row>
    <row r="27" spans="2:32" s="26" customFormat="1" ht="16">
      <c r="B27" s="48"/>
      <c r="C27" s="119">
        <v>0</v>
      </c>
      <c r="D27" s="99" t="s">
        <v>6</v>
      </c>
      <c r="E27" s="100"/>
      <c r="F27" s="100"/>
      <c r="G27" s="100"/>
      <c r="H27" s="100"/>
      <c r="I27" s="100"/>
      <c r="J27" s="41">
        <v>572.32000000000005</v>
      </c>
      <c r="K27" s="42">
        <f t="shared" si="0"/>
        <v>0</v>
      </c>
      <c r="L27" s="62"/>
      <c r="M27" s="28"/>
      <c r="N27" s="28"/>
    </row>
    <row r="28" spans="2:32" s="26" customFormat="1" ht="16">
      <c r="B28" s="48"/>
      <c r="C28" s="125">
        <f>SUM(C21:C27)</f>
        <v>0</v>
      </c>
      <c r="D28" s="43" t="s">
        <v>39</v>
      </c>
      <c r="E28" s="44"/>
      <c r="F28" s="44"/>
      <c r="G28" s="44"/>
      <c r="H28" s="44"/>
      <c r="I28" s="44"/>
      <c r="J28" s="44"/>
      <c r="K28" s="45"/>
      <c r="L28" s="49"/>
      <c r="M28" s="28"/>
      <c r="N28" s="28"/>
    </row>
    <row r="29" spans="2:32" ht="16" customHeight="1">
      <c r="B29" s="48"/>
      <c r="C29" s="28"/>
      <c r="D29" s="28"/>
      <c r="E29" s="31"/>
      <c r="F29" s="31"/>
      <c r="G29" s="31"/>
      <c r="H29" s="31"/>
      <c r="I29" s="31"/>
      <c r="J29" s="53" t="s">
        <v>38</v>
      </c>
      <c r="K29" s="74">
        <f>SUM(K21:K28)</f>
        <v>0</v>
      </c>
      <c r="L29" s="67"/>
      <c r="M29" s="28"/>
      <c r="N29" s="64"/>
      <c r="O29" s="33"/>
      <c r="P29" s="33"/>
      <c r="Q29" s="33"/>
      <c r="R29" s="33"/>
      <c r="S29" s="33"/>
    </row>
    <row r="30" spans="2:32" ht="16">
      <c r="B30" s="48"/>
      <c r="C30" s="28"/>
      <c r="D30" s="28"/>
      <c r="E30" s="31"/>
      <c r="F30" s="31"/>
      <c r="G30" s="31"/>
      <c r="H30" s="31"/>
      <c r="I30" s="31"/>
      <c r="J30" s="53"/>
      <c r="K30" s="54"/>
      <c r="L30" s="68"/>
      <c r="M30" s="64"/>
      <c r="N30" s="64"/>
      <c r="O30" s="33"/>
      <c r="P30" s="33"/>
      <c r="Q30" s="33"/>
      <c r="R30"/>
      <c r="S30"/>
      <c r="T30"/>
      <c r="U30"/>
      <c r="V30"/>
    </row>
    <row r="31" spans="2:32" ht="16">
      <c r="B31" s="48"/>
      <c r="C31" s="28"/>
      <c r="D31" s="31"/>
      <c r="E31" s="31"/>
      <c r="F31" s="31"/>
      <c r="G31" s="31"/>
      <c r="H31" s="31"/>
      <c r="I31" s="31"/>
      <c r="J31" s="53"/>
      <c r="K31" s="54"/>
      <c r="L31" s="68"/>
      <c r="M31" s="28"/>
      <c r="N31" s="28"/>
      <c r="R31" t="s">
        <v>58</v>
      </c>
      <c r="S31" s="25" t="str">
        <f>'Customer Page'!J12</f>
        <v>0-1 Years</v>
      </c>
      <c r="T31"/>
      <c r="U31"/>
      <c r="V31" s="75">
        <f>'Customer Page'!K29</f>
        <v>0</v>
      </c>
    </row>
    <row r="32" spans="2:32" ht="14" customHeight="1">
      <c r="B32" s="48"/>
      <c r="C32" s="28"/>
      <c r="D32" s="94" t="s">
        <v>42</v>
      </c>
      <c r="E32" s="94"/>
      <c r="F32" s="94"/>
      <c r="G32" s="94"/>
      <c r="H32" s="94"/>
      <c r="I32" s="94"/>
      <c r="J32" s="28" t="s">
        <v>75</v>
      </c>
      <c r="K32" s="124" t="str">
        <f>IF(K29&gt;0, "AVAILABLE", "NO")</f>
        <v>NO</v>
      </c>
      <c r="L32" s="69"/>
      <c r="M32" s="28"/>
      <c r="N32" s="28"/>
      <c r="R32" t="s">
        <v>59</v>
      </c>
      <c r="S32">
        <f>IF(S31=R36,5,IF(S31=R35,4,IF(S31=R34,3,IF(S31=R33,2,IF(S31=R32,1,IF(S31=R31,0))))))</f>
        <v>0</v>
      </c>
      <c r="T32"/>
      <c r="U32"/>
      <c r="V32">
        <v>1150</v>
      </c>
    </row>
    <row r="33" spans="2:25">
      <c r="B33" s="48"/>
      <c r="C33" s="28"/>
      <c r="D33" s="56"/>
      <c r="E33" s="56"/>
      <c r="F33" s="56"/>
      <c r="G33" s="56"/>
      <c r="H33" s="56"/>
      <c r="I33" s="56"/>
      <c r="J33" s="28" t="s">
        <v>76</v>
      </c>
      <c r="K33" s="55" t="str">
        <f>IF('Customer Page'!V35&gt;1,"AVAILABLE","NO")</f>
        <v>NO</v>
      </c>
      <c r="L33" s="69"/>
      <c r="M33" s="28"/>
      <c r="N33" s="28"/>
      <c r="R33" t="s">
        <v>60</v>
      </c>
      <c r="S33"/>
      <c r="T33"/>
      <c r="U33"/>
      <c r="V33">
        <f>IF(V31&gt;V32,1,0)</f>
        <v>0</v>
      </c>
    </row>
    <row r="34" spans="2:25">
      <c r="B34" s="48"/>
      <c r="C34" s="28"/>
      <c r="D34" s="56"/>
      <c r="E34" s="56"/>
      <c r="F34" s="56"/>
      <c r="G34" s="56"/>
      <c r="H34" s="56"/>
      <c r="I34" s="56"/>
      <c r="J34" s="28"/>
      <c r="K34" s="55"/>
      <c r="L34" s="69"/>
      <c r="M34" s="28"/>
      <c r="N34" s="28"/>
      <c r="R34" t="s">
        <v>61</v>
      </c>
      <c r="S34"/>
      <c r="T34"/>
      <c r="U34"/>
      <c r="V34">
        <f>IF(S32=5,1,0)</f>
        <v>0</v>
      </c>
      <c r="W34" s="26" t="s">
        <v>81</v>
      </c>
    </row>
    <row r="35" spans="2:25">
      <c r="B35" s="48"/>
      <c r="C35" s="28"/>
      <c r="D35" s="94"/>
      <c r="E35" s="94"/>
      <c r="F35" s="94"/>
      <c r="G35" s="94"/>
      <c r="H35" s="94"/>
      <c r="I35" s="94"/>
      <c r="J35" s="28" t="s">
        <v>77</v>
      </c>
      <c r="K35" s="91">
        <f>IF(Q21=0,R22,IF(Q21=1,R23))</f>
        <v>44146</v>
      </c>
      <c r="L35" s="69"/>
      <c r="M35" s="28"/>
      <c r="N35" s="28"/>
      <c r="R35" s="11" t="s">
        <v>62</v>
      </c>
      <c r="S35"/>
      <c r="T35"/>
      <c r="U35"/>
      <c r="V35">
        <f>V33+V34</f>
        <v>0</v>
      </c>
      <c r="W35" s="26" t="s">
        <v>80</v>
      </c>
    </row>
    <row r="36" spans="2:25">
      <c r="B36" s="48"/>
      <c r="C36" s="28"/>
      <c r="D36" s="28"/>
      <c r="E36" s="28"/>
      <c r="F36" s="28"/>
      <c r="G36" s="28"/>
      <c r="H36" s="28"/>
      <c r="I36" s="28"/>
      <c r="J36" s="28"/>
      <c r="K36" s="28"/>
      <c r="L36" s="49"/>
      <c r="M36" s="28"/>
      <c r="N36" s="28"/>
      <c r="R36" s="11" t="s">
        <v>63</v>
      </c>
      <c r="S36"/>
      <c r="T36"/>
      <c r="U36"/>
      <c r="V36"/>
    </row>
    <row r="37" spans="2:25">
      <c r="B37" s="48"/>
      <c r="C37" s="28"/>
      <c r="D37" s="28"/>
      <c r="E37" s="28"/>
      <c r="F37" s="28"/>
      <c r="G37" s="28"/>
      <c r="H37" s="28"/>
      <c r="I37" s="28"/>
      <c r="J37" s="28"/>
      <c r="K37" s="28"/>
      <c r="L37" s="49"/>
      <c r="M37" s="28"/>
      <c r="N37" s="28"/>
      <c r="R37"/>
      <c r="S37"/>
      <c r="T37"/>
      <c r="U37"/>
      <c r="V37"/>
    </row>
    <row r="38" spans="2:25" ht="16">
      <c r="B38" s="48"/>
      <c r="C38" s="28"/>
      <c r="D38" s="96" t="s">
        <v>43</v>
      </c>
      <c r="E38" s="96"/>
      <c r="F38" s="96"/>
      <c r="G38" s="96"/>
      <c r="H38" s="96"/>
      <c r="I38" s="28"/>
      <c r="J38" s="72">
        <f>IF(C28&gt;0,495,0)</f>
        <v>0</v>
      </c>
      <c r="K38" s="28"/>
      <c r="L38" s="49"/>
      <c r="M38" s="28"/>
      <c r="N38" s="28"/>
    </row>
    <row r="39" spans="2:25">
      <c r="B39" s="48"/>
      <c r="C39" s="28"/>
      <c r="D39" s="28"/>
      <c r="E39" s="28"/>
      <c r="F39" s="28"/>
      <c r="G39" s="28"/>
      <c r="H39" s="28"/>
      <c r="I39" s="28"/>
      <c r="J39" s="57"/>
      <c r="K39" s="28"/>
      <c r="L39" s="49"/>
      <c r="M39" s="28"/>
      <c r="N39" s="28"/>
    </row>
    <row r="40" spans="2:25" ht="16" thickBot="1">
      <c r="B40" s="48"/>
      <c r="C40" s="28"/>
      <c r="D40" s="28" t="s">
        <v>56</v>
      </c>
      <c r="E40" s="28"/>
      <c r="F40" s="28"/>
      <c r="G40" s="28"/>
      <c r="H40" s="28"/>
      <c r="I40" s="28"/>
      <c r="J40" s="73">
        <f>1000*C28</f>
        <v>0</v>
      </c>
      <c r="K40" s="28"/>
      <c r="L40" s="49"/>
      <c r="M40" s="28"/>
      <c r="N40" s="28"/>
    </row>
    <row r="41" spans="2:25" ht="17" customHeight="1" thickTop="1">
      <c r="B41" s="48"/>
      <c r="C41" s="28"/>
      <c r="D41" s="28"/>
      <c r="E41" s="28"/>
      <c r="F41" s="28"/>
      <c r="G41" s="28"/>
      <c r="H41" s="28"/>
      <c r="I41" s="28"/>
      <c r="J41" s="57"/>
      <c r="K41" s="28"/>
      <c r="L41" s="49"/>
      <c r="M41" s="28"/>
      <c r="N41" s="28"/>
    </row>
    <row r="42" spans="2:25" ht="29" customHeight="1">
      <c r="B42" s="48"/>
      <c r="C42" s="28"/>
      <c r="D42" s="95" t="s">
        <v>40</v>
      </c>
      <c r="E42" s="95"/>
      <c r="F42" s="95"/>
      <c r="G42" s="95"/>
      <c r="H42" s="95"/>
      <c r="I42" s="56"/>
      <c r="J42" s="58">
        <f>SUM(J38:J40)</f>
        <v>0</v>
      </c>
      <c r="K42" s="28"/>
      <c r="L42" s="49"/>
      <c r="M42" s="63"/>
      <c r="N42" s="63"/>
    </row>
    <row r="43" spans="2:25">
      <c r="B43" s="48"/>
      <c r="C43" s="28"/>
      <c r="D43" s="28"/>
      <c r="E43" s="28"/>
      <c r="F43" s="28"/>
      <c r="G43" s="28"/>
      <c r="H43" s="28"/>
      <c r="I43" s="28"/>
      <c r="J43" s="28"/>
      <c r="K43" s="28"/>
      <c r="L43" s="49"/>
      <c r="M43" s="28"/>
      <c r="N43" s="28"/>
    </row>
    <row r="44" spans="2:25">
      <c r="B44" s="48"/>
      <c r="C44" s="28"/>
      <c r="D44" s="28"/>
      <c r="E44" s="28"/>
      <c r="F44" s="28"/>
      <c r="G44" s="28"/>
      <c r="H44" s="28"/>
      <c r="I44" s="28"/>
      <c r="J44" s="28"/>
      <c r="K44" s="28"/>
      <c r="L44" s="49"/>
      <c r="M44" s="28"/>
      <c r="N44" s="28"/>
      <c r="P44" s="82" t="s">
        <v>49</v>
      </c>
    </row>
    <row r="45" spans="2:25" ht="21">
      <c r="B45" s="48"/>
      <c r="C45" s="79" t="s">
        <v>45</v>
      </c>
      <c r="D45" s="97" t="s">
        <v>47</v>
      </c>
      <c r="E45" s="97"/>
      <c r="F45" s="97"/>
      <c r="G45" s="97"/>
      <c r="H45" s="97"/>
      <c r="I45" s="97"/>
      <c r="J45" s="97"/>
      <c r="K45" s="97"/>
      <c r="L45" s="65"/>
      <c r="M45" s="28"/>
      <c r="N45" s="28"/>
      <c r="P45" s="84">
        <f>IF(J48=T23,20000,IF(J48=T22,10000,IF(J48=T21,0)))</f>
        <v>20000</v>
      </c>
      <c r="U45" s="32" t="s">
        <v>26</v>
      </c>
      <c r="V45" s="32" t="s">
        <v>27</v>
      </c>
      <c r="W45" s="26" t="s">
        <v>50</v>
      </c>
      <c r="X45" s="32" t="s">
        <v>28</v>
      </c>
      <c r="Y45" s="32" t="s">
        <v>50</v>
      </c>
    </row>
    <row r="46" spans="2:25" ht="16">
      <c r="B46" s="48"/>
      <c r="C46" s="28"/>
      <c r="D46" s="28"/>
      <c r="E46" s="28"/>
      <c r="F46" s="28"/>
      <c r="G46" s="28"/>
      <c r="H46" s="28"/>
      <c r="I46" s="28"/>
      <c r="J46" s="28"/>
      <c r="K46" s="28"/>
      <c r="L46" s="49"/>
      <c r="M46" s="28"/>
      <c r="N46" s="28"/>
      <c r="U46" s="34">
        <v>59999</v>
      </c>
      <c r="V46" s="35">
        <v>5000</v>
      </c>
      <c r="W46" s="26">
        <f>IF(J13&gt;U49,V49,IF(J13&gt;U48,V48,IF(J13&gt;U47,V47,IF(J13&gt;U46,V46,0))))</f>
        <v>0</v>
      </c>
      <c r="X46" s="36">
        <v>7000</v>
      </c>
      <c r="Y46" s="26">
        <f>IF(J13&gt;U49,X49,IF(J13&gt;U48,X48,IF(J13&gt;U47,X47,IF(J13&gt;U46,X46,0))))</f>
        <v>0</v>
      </c>
    </row>
    <row r="47" spans="2:25" ht="20">
      <c r="B47" s="48"/>
      <c r="C47" s="28"/>
      <c r="D47" s="80"/>
      <c r="E47" s="80"/>
      <c r="F47" s="80"/>
      <c r="G47" s="80"/>
      <c r="H47" s="80"/>
      <c r="I47" s="80"/>
      <c r="J47" s="81"/>
      <c r="K47" s="87"/>
      <c r="L47" s="70"/>
      <c r="M47" s="28"/>
      <c r="N47" s="28"/>
      <c r="U47" s="34">
        <v>99999</v>
      </c>
      <c r="V47" s="35">
        <v>6500</v>
      </c>
      <c r="X47" s="36">
        <v>10000</v>
      </c>
    </row>
    <row r="48" spans="2:25" ht="16">
      <c r="B48" s="48"/>
      <c r="C48" s="28"/>
      <c r="D48" s="87"/>
      <c r="E48" s="82"/>
      <c r="F48" s="87"/>
      <c r="G48" s="83" t="s">
        <v>79</v>
      </c>
      <c r="H48" s="82"/>
      <c r="I48" s="82"/>
      <c r="J48" s="120" t="s">
        <v>28</v>
      </c>
      <c r="K48" s="87"/>
      <c r="L48" s="71"/>
      <c r="M48" s="28"/>
      <c r="N48" s="28"/>
      <c r="U48" s="34">
        <v>149999</v>
      </c>
      <c r="V48" s="35">
        <v>8500</v>
      </c>
      <c r="X48" s="36">
        <v>15000</v>
      </c>
    </row>
    <row r="49" spans="2:24" ht="16">
      <c r="B49" s="48"/>
      <c r="C49" s="28"/>
      <c r="D49" s="87"/>
      <c r="E49" s="82"/>
      <c r="F49" s="87"/>
      <c r="G49" s="83" t="s">
        <v>67</v>
      </c>
      <c r="H49" s="82"/>
      <c r="I49" s="82"/>
      <c r="J49" s="85">
        <f>IF(J48=T21,0,IF(J48=T22,W46,IF(J48=T23,Y46)))</f>
        <v>0</v>
      </c>
      <c r="K49" s="86"/>
      <c r="L49" s="70"/>
      <c r="M49" s="28"/>
      <c r="N49" s="28"/>
      <c r="U49" s="34">
        <v>199999</v>
      </c>
      <c r="V49" s="35">
        <v>10000</v>
      </c>
      <c r="X49" s="36">
        <v>20000</v>
      </c>
    </row>
    <row r="50" spans="2:24" ht="16">
      <c r="B50" s="48"/>
      <c r="C50" s="28"/>
      <c r="D50" s="83"/>
      <c r="E50" s="82"/>
      <c r="F50" s="82"/>
      <c r="G50" s="82"/>
      <c r="H50" s="82"/>
      <c r="I50" s="82"/>
      <c r="J50" s="85"/>
      <c r="K50" s="86"/>
      <c r="L50" s="70"/>
      <c r="M50" s="28"/>
      <c r="N50" s="28"/>
      <c r="U50" s="34"/>
      <c r="V50" s="35"/>
      <c r="X50" s="36"/>
    </row>
    <row r="51" spans="2:24">
      <c r="B51" s="48"/>
      <c r="C51" s="28"/>
      <c r="D51" s="80"/>
      <c r="E51" s="87"/>
      <c r="F51" s="93" t="s">
        <v>68</v>
      </c>
      <c r="G51" s="93"/>
      <c r="H51" s="93"/>
      <c r="I51" s="88" t="s">
        <v>65</v>
      </c>
      <c r="J51" s="88" t="s">
        <v>66</v>
      </c>
      <c r="K51" s="80"/>
      <c r="L51" s="49"/>
      <c r="M51" s="28"/>
      <c r="N51" s="28"/>
      <c r="R51" s="76">
        <f>365+J15</f>
        <v>44331</v>
      </c>
      <c r="S51" s="78">
        <f>J49/2</f>
        <v>0</v>
      </c>
    </row>
    <row r="52" spans="2:24">
      <c r="B52" s="48"/>
      <c r="C52" s="28"/>
      <c r="D52" s="80"/>
      <c r="E52" s="87"/>
      <c r="F52" s="93" t="s">
        <v>69</v>
      </c>
      <c r="G52" s="93"/>
      <c r="H52" s="93"/>
      <c r="I52" s="89">
        <f>IF(R55&gt;1,R51,"")</f>
        <v>44331</v>
      </c>
      <c r="J52" s="90">
        <f>IF(R55=2,S51,IF(R55=3,S52,""))</f>
        <v>0</v>
      </c>
      <c r="K52" s="80"/>
      <c r="L52" s="49"/>
      <c r="M52" s="28"/>
      <c r="N52" s="28"/>
      <c r="R52" s="76">
        <f>365+R51</f>
        <v>44696</v>
      </c>
      <c r="S52" s="78">
        <f>J49/3</f>
        <v>0</v>
      </c>
    </row>
    <row r="53" spans="2:24">
      <c r="B53" s="48"/>
      <c r="C53" s="28"/>
      <c r="D53" s="80"/>
      <c r="E53" s="80"/>
      <c r="F53" s="93" t="s">
        <v>70</v>
      </c>
      <c r="G53" s="93"/>
      <c r="H53" s="93"/>
      <c r="I53" s="89">
        <f>IF(R55&gt;1,R52,"")</f>
        <v>44696</v>
      </c>
      <c r="J53" s="90">
        <f>IF(R55=2,S51,IF(R55=3,S52,""))</f>
        <v>0</v>
      </c>
      <c r="K53" s="80"/>
      <c r="L53" s="49"/>
      <c r="M53" s="28"/>
      <c r="N53" s="28"/>
      <c r="R53" s="76">
        <f>365+R52</f>
        <v>45061</v>
      </c>
    </row>
    <row r="54" spans="2:24">
      <c r="B54" s="48"/>
      <c r="C54" s="28"/>
      <c r="D54" s="80"/>
      <c r="E54" s="80"/>
      <c r="F54" s="93" t="s">
        <v>71</v>
      </c>
      <c r="G54" s="93"/>
      <c r="H54" s="93"/>
      <c r="I54" s="89">
        <f>IF(R55=3,R53,"")</f>
        <v>45061</v>
      </c>
      <c r="J54" s="90">
        <f>IF(R55=3,S52,"")</f>
        <v>0</v>
      </c>
      <c r="K54" s="80"/>
      <c r="L54" s="49"/>
      <c r="M54" s="28"/>
      <c r="N54" s="28"/>
    </row>
    <row r="55" spans="2:24">
      <c r="B55" s="48"/>
      <c r="C55" s="28"/>
      <c r="D55" s="80"/>
      <c r="E55" s="80"/>
      <c r="F55" s="80"/>
      <c r="G55" s="80"/>
      <c r="H55" s="80"/>
      <c r="I55" s="80"/>
      <c r="J55" s="80"/>
      <c r="K55" s="80"/>
      <c r="L55" s="49"/>
      <c r="M55" s="28"/>
      <c r="N55" s="28"/>
      <c r="R55" s="26">
        <f>IF(J48=T21,0,IF(J48=T22,2,IF(J48=T23,3)))</f>
        <v>3</v>
      </c>
    </row>
    <row r="56" spans="2:24">
      <c r="B56" s="48"/>
      <c r="C56" s="28"/>
      <c r="D56" s="28"/>
      <c r="E56" s="28"/>
      <c r="F56" s="28"/>
      <c r="G56" s="28"/>
      <c r="H56" s="28"/>
      <c r="I56" s="28"/>
      <c r="J56" s="28"/>
      <c r="K56" s="28"/>
      <c r="L56" s="49"/>
      <c r="M56" s="28"/>
      <c r="N56" s="28"/>
    </row>
    <row r="57" spans="2:24">
      <c r="B57" s="48"/>
      <c r="C57" s="28"/>
      <c r="D57" s="28"/>
      <c r="E57" s="28"/>
      <c r="F57" s="28"/>
      <c r="G57" s="28"/>
      <c r="H57" s="28"/>
      <c r="I57" s="28"/>
      <c r="J57" s="28"/>
      <c r="K57" s="28"/>
      <c r="L57" s="49"/>
      <c r="M57" s="28"/>
      <c r="N57" s="28"/>
    </row>
    <row r="58" spans="2:24">
      <c r="B58" s="59"/>
      <c r="C58" s="30"/>
      <c r="D58" s="30"/>
      <c r="E58" s="30"/>
      <c r="F58" s="30"/>
      <c r="G58" s="30"/>
      <c r="H58" s="30"/>
      <c r="I58" s="30"/>
      <c r="J58" s="30"/>
      <c r="K58" s="30"/>
      <c r="L58" s="60"/>
      <c r="M58" s="28"/>
      <c r="N58" s="28"/>
    </row>
    <row r="59" spans="2:24">
      <c r="J59" s="26"/>
      <c r="K59" s="26"/>
      <c r="L59" s="26"/>
      <c r="M59" s="28"/>
      <c r="N59" s="28"/>
    </row>
    <row r="60" spans="2:24">
      <c r="J60" s="26"/>
      <c r="K60" s="26"/>
      <c r="L60" s="26"/>
      <c r="M60" s="28"/>
      <c r="N60" s="28"/>
    </row>
    <row r="61" spans="2:24">
      <c r="J61" s="26"/>
      <c r="K61" s="26"/>
      <c r="L61" s="26"/>
      <c r="M61" s="28"/>
      <c r="N61" s="28"/>
    </row>
    <row r="62" spans="2:24">
      <c r="J62" s="26"/>
      <c r="K62" s="26"/>
      <c r="L62" s="26"/>
      <c r="M62" s="28"/>
      <c r="N62" s="28"/>
    </row>
    <row r="63" spans="2:24">
      <c r="J63" s="26"/>
      <c r="K63" s="26"/>
      <c r="L63" s="26"/>
      <c r="M63" s="28"/>
      <c r="N63" s="28"/>
    </row>
    <row r="64" spans="2:24">
      <c r="J64" s="26"/>
      <c r="K64" s="26"/>
      <c r="L64" s="26"/>
      <c r="M64" s="28"/>
      <c r="N64" s="28"/>
    </row>
    <row r="65" spans="10:14">
      <c r="J65" s="26"/>
      <c r="K65" s="26"/>
      <c r="L65" s="26"/>
      <c r="M65" s="28"/>
      <c r="N65" s="28"/>
    </row>
    <row r="66" spans="10:14">
      <c r="J66" s="26"/>
      <c r="K66" s="26"/>
      <c r="L66" s="26"/>
      <c r="M66" s="28"/>
      <c r="N66" s="28"/>
    </row>
    <row r="67" spans="10:14">
      <c r="J67" s="26"/>
      <c r="K67" s="26"/>
      <c r="L67" s="26"/>
      <c r="M67" s="28"/>
      <c r="N67" s="28"/>
    </row>
    <row r="68" spans="10:14">
      <c r="J68" s="26"/>
      <c r="K68" s="26"/>
      <c r="L68" s="26"/>
      <c r="M68" s="28"/>
      <c r="N68" s="28"/>
    </row>
    <row r="69" spans="10:14">
      <c r="J69" s="26"/>
      <c r="K69" s="26"/>
      <c r="L69" s="26"/>
      <c r="M69" s="28"/>
      <c r="N69" s="28"/>
    </row>
    <row r="70" spans="10:14">
      <c r="J70" s="26"/>
      <c r="K70" s="26"/>
      <c r="L70" s="26"/>
      <c r="M70" s="28"/>
      <c r="N70" s="28"/>
    </row>
    <row r="71" spans="10:14">
      <c r="J71" s="26"/>
      <c r="K71" s="26"/>
      <c r="L71" s="26"/>
      <c r="M71" s="28"/>
      <c r="N71" s="28"/>
    </row>
    <row r="72" spans="10:14">
      <c r="J72" s="26"/>
      <c r="K72" s="26"/>
      <c r="L72" s="26"/>
    </row>
    <row r="73" spans="10:14">
      <c r="J73" s="26"/>
      <c r="K73" s="26"/>
      <c r="L73" s="26"/>
    </row>
    <row r="74" spans="10:14">
      <c r="J74" s="26"/>
      <c r="K74" s="26"/>
      <c r="L74" s="26"/>
    </row>
    <row r="75" spans="10:14">
      <c r="J75" s="26"/>
      <c r="K75" s="26"/>
      <c r="L75" s="26"/>
    </row>
    <row r="76" spans="10:14">
      <c r="J76" s="26"/>
      <c r="K76" s="26"/>
      <c r="L76" s="26"/>
    </row>
    <row r="77" spans="10:14">
      <c r="J77" s="26"/>
      <c r="K77" s="26"/>
      <c r="L77" s="26"/>
    </row>
    <row r="78" spans="10:14">
      <c r="J78" s="26"/>
      <c r="K78" s="26"/>
      <c r="L78" s="26"/>
    </row>
    <row r="79" spans="10:14">
      <c r="J79" s="26"/>
      <c r="K79" s="26"/>
      <c r="L79" s="26"/>
    </row>
    <row r="80" spans="10:14">
      <c r="J80" s="26"/>
      <c r="K80" s="26"/>
      <c r="L80" s="26"/>
    </row>
    <row r="81" spans="10:12">
      <c r="J81" s="26"/>
      <c r="K81" s="26"/>
      <c r="L81" s="26"/>
    </row>
    <row r="82" spans="10:12">
      <c r="J82" s="26"/>
      <c r="K82" s="26"/>
      <c r="L82" s="26"/>
    </row>
    <row r="83" spans="10:12">
      <c r="J83" s="26"/>
      <c r="K83" s="26"/>
      <c r="L83" s="26"/>
    </row>
    <row r="84" spans="10:12">
      <c r="J84" s="26"/>
      <c r="K84" s="26"/>
      <c r="L84" s="26"/>
    </row>
    <row r="85" spans="10:12">
      <c r="J85" s="26"/>
      <c r="K85" s="26"/>
      <c r="L85" s="26"/>
    </row>
    <row r="86" spans="10:12">
      <c r="J86" s="26"/>
      <c r="K86" s="26"/>
      <c r="L86" s="26"/>
    </row>
    <row r="87" spans="10:12">
      <c r="J87" s="26"/>
      <c r="K87" s="26"/>
      <c r="L87" s="26"/>
    </row>
    <row r="88" spans="10:12">
      <c r="J88" s="26"/>
      <c r="K88" s="26"/>
      <c r="L88" s="26"/>
    </row>
    <row r="89" spans="10:12">
      <c r="J89" s="26"/>
      <c r="K89" s="26"/>
      <c r="L89" s="26"/>
    </row>
    <row r="90" spans="10:12">
      <c r="J90" s="26"/>
      <c r="K90" s="26"/>
      <c r="L90" s="26"/>
    </row>
    <row r="91" spans="10:12">
      <c r="J91" s="26"/>
      <c r="K91" s="26"/>
      <c r="L91" s="26"/>
    </row>
    <row r="92" spans="10:12">
      <c r="J92" s="26"/>
      <c r="K92" s="26"/>
      <c r="L92" s="26"/>
    </row>
    <row r="93" spans="10:12">
      <c r="J93" s="26"/>
      <c r="K93" s="26"/>
      <c r="L93" s="26"/>
    </row>
    <row r="94" spans="10:12">
      <c r="J94" s="26"/>
      <c r="K94" s="26"/>
      <c r="L94" s="26"/>
    </row>
    <row r="95" spans="10:12">
      <c r="J95" s="26"/>
      <c r="K95" s="26"/>
      <c r="L95" s="26"/>
    </row>
    <row r="96" spans="10:12">
      <c r="J96" s="26"/>
      <c r="K96" s="26"/>
      <c r="L96" s="26"/>
    </row>
    <row r="97" spans="10:12">
      <c r="J97" s="26"/>
      <c r="K97" s="26"/>
      <c r="L97" s="26"/>
    </row>
    <row r="98" spans="10:12">
      <c r="J98" s="26"/>
      <c r="K98" s="26"/>
      <c r="L98" s="26"/>
    </row>
    <row r="99" spans="10:12">
      <c r="J99" s="26"/>
      <c r="K99" s="26"/>
      <c r="L99" s="26"/>
    </row>
    <row r="100" spans="10:12">
      <c r="J100" s="26"/>
      <c r="K100" s="26"/>
      <c r="L100" s="26"/>
    </row>
    <row r="101" spans="10:12">
      <c r="J101" s="26"/>
      <c r="K101" s="26"/>
      <c r="L101" s="26"/>
    </row>
    <row r="102" spans="10:12">
      <c r="J102" s="26"/>
      <c r="K102" s="26"/>
      <c r="L102" s="26"/>
    </row>
    <row r="103" spans="10:12">
      <c r="J103" s="26"/>
      <c r="K103" s="26"/>
      <c r="L103" s="26"/>
    </row>
    <row r="104" spans="10:12">
      <c r="J104" s="26"/>
      <c r="K104" s="26"/>
      <c r="L104" s="26"/>
    </row>
    <row r="105" spans="10:12">
      <c r="J105" s="26"/>
      <c r="K105" s="26"/>
      <c r="L105" s="26"/>
    </row>
    <row r="106" spans="10:12">
      <c r="J106" s="26"/>
      <c r="K106" s="26"/>
      <c r="L106" s="26"/>
    </row>
    <row r="107" spans="10:12" s="26" customFormat="1"/>
    <row r="108" spans="10:12" s="26" customFormat="1"/>
    <row r="109" spans="10:12" s="26" customFormat="1"/>
    <row r="110" spans="10:12" s="26" customFormat="1"/>
    <row r="111" spans="10:12" s="26" customFormat="1"/>
    <row r="112" spans="10: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pans="10:12" s="26" customFormat="1"/>
    <row r="210" spans="10:12" s="26" customFormat="1"/>
    <row r="211" spans="10:12" s="26" customFormat="1"/>
    <row r="212" spans="10:12" s="26" customFormat="1"/>
    <row r="213" spans="10:12" s="26" customFormat="1"/>
    <row r="214" spans="10:12" s="26" customFormat="1"/>
    <row r="215" spans="10:12" s="26" customFormat="1"/>
    <row r="216" spans="10:12" s="26" customFormat="1"/>
    <row r="217" spans="10:12">
      <c r="J217" s="26"/>
      <c r="K217" s="26"/>
      <c r="L217" s="26"/>
    </row>
    <row r="218" spans="10:12">
      <c r="J218" s="26"/>
      <c r="K218" s="26"/>
      <c r="L218" s="26"/>
    </row>
    <row r="219" spans="10:12">
      <c r="J219" s="26"/>
      <c r="K219" s="26"/>
      <c r="L219" s="26"/>
    </row>
  </sheetData>
  <sheetProtection algorithmName="SHA-512" hashValue="7JKGvwdNTTU7gDJ71rCr60lGHR94UcAM5kGywlveuvAbwq9jXcdsKDCkUhgfj4q8qihqqw//3/ctsa/u6wNk+Q==" saltValue="rXndou4dSM3dUaswxsVXlA==" spinCount="100000" sheet="1" objects="1" scenarios="1" selectLockedCells="1"/>
  <mergeCells count="21">
    <mergeCell ref="D32:I32"/>
    <mergeCell ref="E7:J7"/>
    <mergeCell ref="E10:J10"/>
    <mergeCell ref="E9:J9"/>
    <mergeCell ref="E8:J8"/>
    <mergeCell ref="D18:K19"/>
    <mergeCell ref="D27:I27"/>
    <mergeCell ref="D26:I26"/>
    <mergeCell ref="D25:I25"/>
    <mergeCell ref="D24:I24"/>
    <mergeCell ref="D23:I23"/>
    <mergeCell ref="D22:I22"/>
    <mergeCell ref="D21:I21"/>
    <mergeCell ref="F51:H51"/>
    <mergeCell ref="F54:H54"/>
    <mergeCell ref="F53:H53"/>
    <mergeCell ref="F52:H52"/>
    <mergeCell ref="D35:I35"/>
    <mergeCell ref="D42:H42"/>
    <mergeCell ref="D38:H38"/>
    <mergeCell ref="D45:K45"/>
  </mergeCells>
  <conditionalFormatting sqref="K32:L32">
    <cfRule type="cellIs" dxfId="8" priority="13" operator="equal">
      <formula>"YES"</formula>
    </cfRule>
    <cfRule type="cellIs" dxfId="7" priority="15" operator="equal">
      <formula>"YES=$C$26"</formula>
    </cfRule>
  </conditionalFormatting>
  <conditionalFormatting sqref="K33:L35">
    <cfRule type="cellIs" dxfId="6" priority="14" operator="equal">
      <formula>"AVAILABLE"</formula>
    </cfRule>
  </conditionalFormatting>
  <conditionalFormatting sqref="K29:L31">
    <cfRule type="cellIs" dxfId="5" priority="12" operator="greaterThan">
      <formula>0</formula>
    </cfRule>
  </conditionalFormatting>
  <conditionalFormatting sqref="J38">
    <cfRule type="cellIs" dxfId="4" priority="9" operator="equal">
      <formula>495</formula>
    </cfRule>
  </conditionalFormatting>
  <conditionalFormatting sqref="J40">
    <cfRule type="cellIs" dxfId="3" priority="8" operator="greaterThan">
      <formula>0</formula>
    </cfRule>
  </conditionalFormatting>
  <conditionalFormatting sqref="J42">
    <cfRule type="cellIs" dxfId="2" priority="5" operator="greaterThan">
      <formula>0</formula>
    </cfRule>
    <cfRule type="cellIs" dxfId="1" priority="7" operator="greaterThan">
      <formula>0</formula>
    </cfRule>
  </conditionalFormatting>
  <conditionalFormatting sqref="R29:S30">
    <cfRule type="containsText" dxfId="0" priority="1" operator="containsText" text="Tenure">
      <formula>NOT(ISERROR(SEARCH("Tenure",R29)))</formula>
    </cfRule>
  </conditionalFormatting>
  <dataValidations count="4">
    <dataValidation type="list" allowBlank="1" showInputMessage="1" showErrorMessage="1" sqref="C21:C27" xr:uid="{00000000-0002-0000-0100-000000000000}">
      <formula1>$U$20:$U$25</formula1>
    </dataValidation>
    <dataValidation type="list" allowBlank="1" showInputMessage="1" showErrorMessage="1" sqref="J48" xr:uid="{CCDCCD83-DFEF-CD49-A7EC-A1D91E29A461}">
      <formula1>$T$21:$T$23</formula1>
    </dataValidation>
    <dataValidation type="list" allowBlank="1" showInputMessage="1" showErrorMessage="1" sqref="J16" xr:uid="{ACE158FB-4661-C240-9185-0026C05AF635}">
      <formula1>$W$21:$W$22</formula1>
    </dataValidation>
    <dataValidation type="list" allowBlank="1" showInputMessage="1" showErrorMessage="1" sqref="J12" xr:uid="{B23845EB-C4C5-E04E-991B-F7E3932505A8}">
      <formula1>$R$31:$R$36</formula1>
    </dataValidation>
  </dataValidations>
  <pageMargins left="0.7" right="0.7" top="0.75" bottom="0.75" header="0.3" footer="0.3"/>
  <pageSetup scale="57" orientation="portrait" horizontalDpi="0" verticalDpi="0"/>
  <rowBreaks count="1" manualBreakCount="1">
    <brk id="59" max="16383" man="1"/>
  </rowBreaks>
  <colBreaks count="1" manualBreakCount="1">
    <brk id="13" max="212" man="1"/>
  </colBreak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7"/>
  <sheetViews>
    <sheetView workbookViewId="0">
      <selection activeCell="K24" sqref="K24:O31"/>
    </sheetView>
  </sheetViews>
  <sheetFormatPr baseColWidth="10" defaultColWidth="8.83203125" defaultRowHeight="15"/>
  <cols>
    <col min="1" max="1" width="5.5" bestFit="1" customWidth="1"/>
    <col min="2" max="2" width="67.6640625" customWidth="1"/>
    <col min="3" max="3" width="23.1640625" customWidth="1"/>
    <col min="4" max="4" width="13.83203125" bestFit="1" customWidth="1"/>
    <col min="5" max="5" width="15.1640625" bestFit="1" customWidth="1"/>
    <col min="6" max="6" width="1.83203125" customWidth="1"/>
    <col min="7" max="7" width="14.5" customWidth="1"/>
    <col min="8" max="8" width="11.1640625" bestFit="1" customWidth="1"/>
    <col min="9" max="10" width="11.1640625" customWidth="1"/>
    <col min="11" max="12" width="10.6640625" customWidth="1"/>
    <col min="15" max="15" width="11.1640625" bestFit="1" customWidth="1"/>
  </cols>
  <sheetData>
    <row r="1" spans="2:12" ht="34" customHeight="1">
      <c r="F1" s="12"/>
      <c r="G1" s="108" t="s">
        <v>21</v>
      </c>
      <c r="H1" s="108"/>
      <c r="I1" s="109" t="s">
        <v>23</v>
      </c>
      <c r="J1" s="109"/>
      <c r="K1" s="110" t="s">
        <v>24</v>
      </c>
      <c r="L1" s="110"/>
    </row>
    <row r="2" spans="2:12" s="5" customFormat="1" ht="49">
      <c r="B2" s="8" t="s">
        <v>12</v>
      </c>
      <c r="C2" s="9" t="s">
        <v>22</v>
      </c>
      <c r="D2" s="9" t="s">
        <v>15</v>
      </c>
      <c r="E2" s="9" t="s">
        <v>16</v>
      </c>
      <c r="F2" s="13"/>
      <c r="G2" s="15" t="s">
        <v>2</v>
      </c>
      <c r="H2" s="15" t="s">
        <v>3</v>
      </c>
      <c r="I2" s="17" t="s">
        <v>2</v>
      </c>
      <c r="J2" s="17" t="s">
        <v>3</v>
      </c>
      <c r="K2" s="15" t="s">
        <v>2</v>
      </c>
      <c r="L2" s="15" t="s">
        <v>3</v>
      </c>
    </row>
    <row r="3" spans="2:12" ht="16">
      <c r="B3" s="1" t="s">
        <v>7</v>
      </c>
      <c r="C3" s="4">
        <v>402.09</v>
      </c>
      <c r="D3" s="4">
        <v>-495</v>
      </c>
      <c r="E3" s="4">
        <v>-1000</v>
      </c>
      <c r="F3" s="14"/>
      <c r="G3" s="16">
        <v>18895</v>
      </c>
      <c r="H3" s="16">
        <v>18870</v>
      </c>
      <c r="I3" s="18">
        <f>G3*0.3</f>
        <v>5668.5</v>
      </c>
      <c r="J3" s="18">
        <f>H3*0.3</f>
        <v>5661</v>
      </c>
      <c r="K3" s="19">
        <f>I3+SUM(D3:E3)</f>
        <v>4173.5</v>
      </c>
      <c r="L3" s="19">
        <f>J3+SUM(E3:F3)</f>
        <v>4661</v>
      </c>
    </row>
    <row r="4" spans="2:12" ht="16">
      <c r="B4" s="2" t="s">
        <v>4</v>
      </c>
      <c r="C4" s="4">
        <v>377.25</v>
      </c>
      <c r="D4" s="4">
        <v>-495</v>
      </c>
      <c r="E4" s="4">
        <v>-1000</v>
      </c>
      <c r="F4" s="14"/>
      <c r="G4" s="16">
        <v>17380</v>
      </c>
      <c r="H4" s="16">
        <v>17745</v>
      </c>
      <c r="I4" s="18">
        <f t="shared" ref="I4:I9" si="0">G4*0.3</f>
        <v>5214</v>
      </c>
      <c r="J4" s="18">
        <f t="shared" ref="J4:J7" si="1">H4*0.3</f>
        <v>5323.5</v>
      </c>
      <c r="K4" s="19">
        <f t="shared" ref="K4:K9" si="2">I4+SUM(D4:E4)</f>
        <v>3719</v>
      </c>
      <c r="L4" s="19">
        <f t="shared" ref="L4:L7" si="3">J4+SUM(E4:F4)</f>
        <v>4323.5</v>
      </c>
    </row>
    <row r="5" spans="2:12" ht="16">
      <c r="B5" s="1" t="s">
        <v>5</v>
      </c>
      <c r="C5" s="4">
        <v>314.27</v>
      </c>
      <c r="D5" s="4">
        <v>-495</v>
      </c>
      <c r="E5" s="4">
        <v>-1000</v>
      </c>
      <c r="F5" s="14"/>
      <c r="G5" s="16">
        <v>14200</v>
      </c>
      <c r="H5" s="16">
        <v>14830</v>
      </c>
      <c r="I5" s="18">
        <f t="shared" si="0"/>
        <v>4260</v>
      </c>
      <c r="J5" s="18">
        <f t="shared" si="1"/>
        <v>4449</v>
      </c>
      <c r="K5" s="19">
        <f t="shared" si="2"/>
        <v>2765</v>
      </c>
      <c r="L5" s="19">
        <f t="shared" si="3"/>
        <v>3449</v>
      </c>
    </row>
    <row r="6" spans="2:12" ht="16">
      <c r="B6" s="2" t="s">
        <v>10</v>
      </c>
      <c r="C6" s="4">
        <v>591.66</v>
      </c>
      <c r="D6" s="4">
        <v>-495</v>
      </c>
      <c r="E6" s="4">
        <v>-1000</v>
      </c>
      <c r="F6" s="14"/>
      <c r="G6" s="16">
        <v>27670</v>
      </c>
      <c r="H6" s="16">
        <v>27670</v>
      </c>
      <c r="I6" s="18">
        <f t="shared" si="0"/>
        <v>8301</v>
      </c>
      <c r="J6" s="18">
        <f t="shared" si="1"/>
        <v>8301</v>
      </c>
      <c r="K6" s="19">
        <f t="shared" si="2"/>
        <v>6806</v>
      </c>
      <c r="L6" s="19">
        <f t="shared" si="3"/>
        <v>7301</v>
      </c>
    </row>
    <row r="7" spans="2:12" ht="16">
      <c r="B7" s="1" t="s">
        <v>8</v>
      </c>
      <c r="C7" s="4">
        <v>356.29</v>
      </c>
      <c r="D7" s="4">
        <v>-495</v>
      </c>
      <c r="E7" s="4">
        <v>-1000</v>
      </c>
      <c r="F7" s="14"/>
      <c r="G7" s="16" t="s">
        <v>13</v>
      </c>
      <c r="H7" s="16">
        <v>16775</v>
      </c>
      <c r="I7" s="18" t="s">
        <v>13</v>
      </c>
      <c r="J7" s="18">
        <f t="shared" si="1"/>
        <v>5032.5</v>
      </c>
      <c r="K7" s="16" t="s">
        <v>13</v>
      </c>
      <c r="L7" s="19">
        <f t="shared" si="3"/>
        <v>4032.5</v>
      </c>
    </row>
    <row r="8" spans="2:12" ht="16">
      <c r="B8" s="2" t="s">
        <v>9</v>
      </c>
      <c r="C8" s="4">
        <v>242.66</v>
      </c>
      <c r="D8" s="4">
        <v>-495</v>
      </c>
      <c r="E8" s="4">
        <v>-1000</v>
      </c>
      <c r="F8" s="14"/>
      <c r="G8" s="16">
        <v>11515</v>
      </c>
      <c r="H8" s="16" t="s">
        <v>13</v>
      </c>
      <c r="I8" s="18">
        <f t="shared" si="0"/>
        <v>3454.5</v>
      </c>
      <c r="J8" s="18" t="s">
        <v>13</v>
      </c>
      <c r="K8" s="19">
        <f t="shared" si="2"/>
        <v>1959.5</v>
      </c>
      <c r="L8" s="16" t="s">
        <v>13</v>
      </c>
    </row>
    <row r="9" spans="2:12" ht="16">
      <c r="B9" s="2" t="s">
        <v>6</v>
      </c>
      <c r="C9" s="4">
        <v>572.32000000000005</v>
      </c>
      <c r="D9" s="4">
        <v>-495</v>
      </c>
      <c r="E9" s="4">
        <v>-1000</v>
      </c>
      <c r="F9" s="14"/>
      <c r="G9" s="16">
        <v>26775</v>
      </c>
      <c r="H9" s="16" t="s">
        <v>13</v>
      </c>
      <c r="I9" s="18">
        <f t="shared" si="0"/>
        <v>8032.5</v>
      </c>
      <c r="J9" s="18" t="s">
        <v>13</v>
      </c>
      <c r="K9" s="19">
        <f t="shared" si="2"/>
        <v>6537.5</v>
      </c>
      <c r="L9" s="16" t="s">
        <v>13</v>
      </c>
    </row>
    <row r="10" spans="2:12">
      <c r="F10" s="12"/>
    </row>
    <row r="12" spans="2:12" ht="16">
      <c r="B12" s="2" t="s">
        <v>18</v>
      </c>
    </row>
    <row r="13" spans="2:12" ht="16">
      <c r="B13" s="2" t="s">
        <v>14</v>
      </c>
    </row>
    <row r="14" spans="2:12">
      <c r="B14" s="6" t="s">
        <v>19</v>
      </c>
    </row>
    <row r="15" spans="2:12">
      <c r="B15" s="6" t="s">
        <v>20</v>
      </c>
    </row>
    <row r="16" spans="2:12" s="11" customFormat="1" ht="29" customHeight="1">
      <c r="B16" s="111" t="s">
        <v>17</v>
      </c>
      <c r="C16" s="111"/>
      <c r="D16" s="111"/>
      <c r="E16" s="111"/>
      <c r="F16" s="111"/>
      <c r="G16" s="111"/>
      <c r="H16" s="111"/>
      <c r="I16" s="111"/>
      <c r="J16" s="111"/>
      <c r="K16" s="111"/>
      <c r="L16" s="111"/>
    </row>
    <row r="18" spans="2:6">
      <c r="B18" t="s">
        <v>1</v>
      </c>
      <c r="E18" s="3">
        <v>5736.68</v>
      </c>
      <c r="F18" t="s">
        <v>11</v>
      </c>
    </row>
    <row r="19" spans="2:6">
      <c r="D19" s="107"/>
      <c r="E19" s="107"/>
    </row>
    <row r="21" spans="2:6" ht="16">
      <c r="C21" s="24" t="s">
        <v>32</v>
      </c>
      <c r="D21" s="4"/>
      <c r="E21" s="4"/>
      <c r="F21" s="7"/>
    </row>
    <row r="22" spans="2:6">
      <c r="C22" t="s">
        <v>35</v>
      </c>
      <c r="D22" s="4"/>
      <c r="E22" s="4"/>
      <c r="F22" s="7"/>
    </row>
    <row r="23" spans="2:6" ht="16">
      <c r="C23" s="24" t="s">
        <v>33</v>
      </c>
      <c r="D23" s="4"/>
      <c r="E23" s="4"/>
      <c r="F23" s="7"/>
    </row>
    <row r="24" spans="2:6" ht="16">
      <c r="C24" s="24" t="s">
        <v>34</v>
      </c>
      <c r="D24" s="4"/>
      <c r="E24" s="4"/>
      <c r="F24" s="7"/>
    </row>
    <row r="25" spans="2:6" ht="16">
      <c r="B25" s="20"/>
      <c r="C25" s="4"/>
      <c r="D25" s="4"/>
      <c r="E25" s="4"/>
      <c r="F25" s="7"/>
    </row>
    <row r="26" spans="2:6">
      <c r="C26" s="10" t="s">
        <v>26</v>
      </c>
      <c r="D26" s="10" t="s">
        <v>27</v>
      </c>
      <c r="E26" s="10" t="s">
        <v>28</v>
      </c>
    </row>
    <row r="27" spans="2:6" ht="16">
      <c r="C27" s="21" t="s">
        <v>29</v>
      </c>
      <c r="D27" s="22">
        <v>5000</v>
      </c>
      <c r="E27" s="23">
        <v>7000</v>
      </c>
    </row>
    <row r="28" spans="2:6" ht="16">
      <c r="C28" s="21" t="s">
        <v>30</v>
      </c>
      <c r="D28" s="22">
        <v>6500</v>
      </c>
      <c r="E28" s="23">
        <v>10000</v>
      </c>
    </row>
    <row r="29" spans="2:6" ht="16">
      <c r="C29" s="21" t="s">
        <v>31</v>
      </c>
      <c r="D29" s="22">
        <v>8500</v>
      </c>
      <c r="E29" s="23">
        <v>15000</v>
      </c>
    </row>
    <row r="30" spans="2:6" ht="16">
      <c r="C30" s="21" t="s">
        <v>25</v>
      </c>
      <c r="D30" s="22">
        <v>10000</v>
      </c>
      <c r="E30" s="23">
        <v>20000</v>
      </c>
    </row>
    <row r="36" spans="6:6">
      <c r="F36" t="s">
        <v>0</v>
      </c>
    </row>
    <row r="37" spans="6:6">
      <c r="F37" t="s">
        <v>0</v>
      </c>
    </row>
  </sheetData>
  <mergeCells count="5">
    <mergeCell ref="D19:E19"/>
    <mergeCell ref="G1:H1"/>
    <mergeCell ref="I1:J1"/>
    <mergeCell ref="K1:L1"/>
    <mergeCell ref="B16:L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Customer Page</vt:lpstr>
      <vt:lpstr>Calculations</vt:lpstr>
      <vt:lpstr>'Customer Page'!Print_Area</vt:lpstr>
    </vt:vector>
  </TitlesOfParts>
  <Manager/>
  <Company>NCSWash,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Belanger</dc:creator>
  <cp:keywords/>
  <dc:description/>
  <cp:lastModifiedBy>Shane Wells</cp:lastModifiedBy>
  <dcterms:created xsi:type="dcterms:W3CDTF">2020-04-14T21:34:57Z</dcterms:created>
  <dcterms:modified xsi:type="dcterms:W3CDTF">2020-04-20T23:14:11Z</dcterms:modified>
  <cp:category/>
</cp:coreProperties>
</file>